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05" windowWidth="8955" windowHeight="3810" activeTab="0"/>
  </bookViews>
  <sheets>
    <sheet name="Тек сделки" sheetId="1" r:id="rId1"/>
    <sheet name="Буд.Сделки" sheetId="2" r:id="rId2"/>
    <sheet name="Исследование" sheetId="3" r:id="rId3"/>
  </sheets>
  <definedNames>
    <definedName name="_xlnm._FilterDatabase" localSheetId="1" hidden="1">'Буд.Сделки'!$A$4:$Q$45</definedName>
  </definedNames>
  <calcPr fullCalcOnLoad="1"/>
</workbook>
</file>

<file path=xl/sharedStrings.xml><?xml version="1.0" encoding="utf-8"?>
<sst xmlns="http://schemas.openxmlformats.org/spreadsheetml/2006/main" count="133" uniqueCount="119">
  <si>
    <t xml:space="preserve">Предметы лизинга </t>
  </si>
  <si>
    <t xml:space="preserve">Доля в новом бизнесе за 9 мес. 2010 г., % </t>
  </si>
  <si>
    <t xml:space="preserve">Доля в новом бизнесе за 9 мес. 2009 г., % </t>
  </si>
  <si>
    <t xml:space="preserve">Прирост (+) или сокраще­ние (-) объема сегмента, % </t>
  </si>
  <si>
    <t xml:space="preserve">Доля сегмента в лизинговом портфеле на 01.10.10 г., % </t>
  </si>
  <si>
    <t xml:space="preserve">Железнодорожная техника </t>
  </si>
  <si>
    <t xml:space="preserve">Авиационный транспорт (воздушные суда, вертолеты) </t>
  </si>
  <si>
    <r>
      <t>Грузовой автотранспорт</t>
    </r>
    <r>
      <rPr>
        <sz val="5"/>
        <color indexed="8"/>
        <rFont val="Arial"/>
        <family val="2"/>
      </rPr>
      <t xml:space="preserve">1 </t>
    </r>
  </si>
  <si>
    <t xml:space="preserve">Легковые автомобили </t>
  </si>
  <si>
    <t xml:space="preserve">Строительная техника, включая строительную спецтехнику на колесах </t>
  </si>
  <si>
    <t xml:space="preserve">Суда (морские и речные) </t>
  </si>
  <si>
    <t xml:space="preserve">Дорожно-строительная техника </t>
  </si>
  <si>
    <t xml:space="preserve">Энергетическое оборудование </t>
  </si>
  <si>
    <t xml:space="preserve">Оборудование для ЖКХ </t>
  </si>
  <si>
    <t xml:space="preserve">Здания и сооружения </t>
  </si>
  <si>
    <t xml:space="preserve">Оборудование для газодобычи и переработки </t>
  </si>
  <si>
    <t xml:space="preserve">Машиностроительное, металлообрабатывающее оборудование </t>
  </si>
  <si>
    <t xml:space="preserve">Оборудование для нефтедобычи и переработки </t>
  </si>
  <si>
    <t xml:space="preserve">Автобусы и микроавтобусы </t>
  </si>
  <si>
    <t xml:space="preserve">Погрузчики и складское оборудование </t>
  </si>
  <si>
    <t xml:space="preserve">Полиграфическое оборудование </t>
  </si>
  <si>
    <t xml:space="preserve">Оборудование для пищевой промышленности, включая холодильное </t>
  </si>
  <si>
    <r>
      <t>Сельскохозяйственная техника</t>
    </r>
    <r>
      <rPr>
        <sz val="5"/>
        <color indexed="8"/>
        <rFont val="Arial"/>
        <family val="2"/>
      </rPr>
      <t xml:space="preserve">2 </t>
    </r>
  </si>
  <si>
    <t xml:space="preserve">Компьютеры и оргтехника </t>
  </si>
  <si>
    <t xml:space="preserve">Упаковочное оборудование и оборудование для производства тары </t>
  </si>
  <si>
    <t xml:space="preserve">Оборудование для производства химических изделий, пластмасс </t>
  </si>
  <si>
    <t xml:space="preserve">Оборудование для добычи прочих полезных ископаемых </t>
  </si>
  <si>
    <t xml:space="preserve">Лесозаготовительное оборудование и лесовозы </t>
  </si>
  <si>
    <t xml:space="preserve">Металлургическое оборудование </t>
  </si>
  <si>
    <t xml:space="preserve">Телекоммуникационное оборудование </t>
  </si>
  <si>
    <t xml:space="preserve">Торговое оборудование </t>
  </si>
  <si>
    <t xml:space="preserve">Деревообрабатывающее оборудование </t>
  </si>
  <si>
    <t xml:space="preserve">Медицинская техника и фармацевтическое оборудо­вание </t>
  </si>
  <si>
    <t xml:space="preserve">Оборудование для авиационной отрасли </t>
  </si>
  <si>
    <t xml:space="preserve">Геологоразведочная техника </t>
  </si>
  <si>
    <t xml:space="preserve">Авторемонтное и автосервисное оборудование </t>
  </si>
  <si>
    <t xml:space="preserve">Оборудование для развлекательных мероприятий </t>
  </si>
  <si>
    <t xml:space="preserve">Мебель и офисное оборудование </t>
  </si>
  <si>
    <t xml:space="preserve">Оборудование для производства бумаги и картона </t>
  </si>
  <si>
    <t xml:space="preserve">Текстильное и швейное оборудование </t>
  </si>
  <si>
    <t xml:space="preserve">Оборудование для спорта и фитнес-центров </t>
  </si>
  <si>
    <t xml:space="preserve">Оборудование для ресторанов </t>
  </si>
  <si>
    <t xml:space="preserve">Банковское оборудование </t>
  </si>
  <si>
    <t>Объем портфелей лизинговых компаний</t>
  </si>
  <si>
    <t>Срок амортизации</t>
  </si>
  <si>
    <t>Коэффициент</t>
  </si>
  <si>
    <t>Свыше 7 лет</t>
  </si>
  <si>
    <t>От 2 лет до 3 лет</t>
  </si>
  <si>
    <t>От 1 года до 2 лет</t>
  </si>
  <si>
    <t>Менее 1 года</t>
  </si>
  <si>
    <t>От 5 лет до 7 лет</t>
  </si>
  <si>
    <t>От 3 лет до 5 лет</t>
  </si>
  <si>
    <t>Портфель по срокам</t>
  </si>
  <si>
    <t>Портфель по срокам без НДС</t>
  </si>
  <si>
    <t>Средний срок</t>
  </si>
  <si>
    <t>Среднее удорожание</t>
  </si>
  <si>
    <t>Стоимость имущества без НДС</t>
  </si>
  <si>
    <t>Амортизация в год с коэф</t>
  </si>
  <si>
    <t>Амортизация в год без коэф</t>
  </si>
  <si>
    <t>Вознаграждение лизинговой компании за срок сделки</t>
  </si>
  <si>
    <t>Ставка вознаграждения ЛП</t>
  </si>
  <si>
    <t>Сроки лизинга</t>
  </si>
  <si>
    <t>№ п/п</t>
  </si>
  <si>
    <t>Коэф ускоренной амортизации</t>
  </si>
  <si>
    <t>Ставка по лизингу, включающая все налоги</t>
  </si>
  <si>
    <t>Проверка Ставка финансирования</t>
  </si>
  <si>
    <t>Дополнительный налог на прибыль в год 20%</t>
  </si>
  <si>
    <t>Дополнительный налог на прибыль за срок лизинга 20%</t>
  </si>
  <si>
    <t>Доля в портфеле сделок</t>
  </si>
  <si>
    <t>Группа сроков лизинга</t>
  </si>
  <si>
    <t>Доля оперативного лизинга</t>
  </si>
  <si>
    <t>Доля международного лизинга</t>
  </si>
  <si>
    <t>Падение данного объема</t>
  </si>
  <si>
    <t>Результирующий объем рынка</t>
  </si>
  <si>
    <t>Доля аморт.групп 1-3</t>
  </si>
  <si>
    <t>Сумма НДС в бюджет при приобретении оборудования</t>
  </si>
  <si>
    <t>Налог на имущество в год</t>
  </si>
  <si>
    <t>Вознаграждение банков</t>
  </si>
  <si>
    <t>Вознаграждение Лиз компаний</t>
  </si>
  <si>
    <t>Ставка кредитования</t>
  </si>
  <si>
    <t>Прибыль Банка и Лизинговой компании</t>
  </si>
  <si>
    <t>Нет</t>
  </si>
  <si>
    <t>Да</t>
  </si>
  <si>
    <t>Затрудняюсь</t>
  </si>
  <si>
    <t>Объем кредитов по стоимости имущества с НДС</t>
  </si>
  <si>
    <t>Дополнительный налог на прибыль от суммы кредитов</t>
  </si>
  <si>
    <t xml:space="preserve">На сколько дополнительный налог превышает доход ЛК за срок сделки </t>
  </si>
  <si>
    <t>Расчет дополнительного налога на прибыль при отмене коэффициента ускоренной амортизации для текущего портфеля сделок</t>
  </si>
  <si>
    <t>Падение объема по им-ву в котором актуален коэф.3</t>
  </si>
  <si>
    <t>Итоговое падение по всему рынку</t>
  </si>
  <si>
    <t>Оценка объема рынка за год с НДС</t>
  </si>
  <si>
    <t>Срок лизинга/ года</t>
  </si>
  <si>
    <t>Удорожание лизинговой сделки</t>
  </si>
  <si>
    <t>Вознаграждение ЛК в  годовых</t>
  </si>
  <si>
    <t>Сумма НДС в бюджет с добавленной стоимости лизинговой компании в год</t>
  </si>
  <si>
    <t>Прибыль к валовой прибыли в ЛК</t>
  </si>
  <si>
    <t>Прибыль к доходу в Банке</t>
  </si>
  <si>
    <t>Налог на прибыль с прибыли Банков и ЛК</t>
  </si>
  <si>
    <t>Сумма всех  налогов</t>
  </si>
  <si>
    <t>Крупный бизнес</t>
  </si>
  <si>
    <t>Средний бизнес</t>
  </si>
  <si>
    <t>Малый бизнес</t>
  </si>
  <si>
    <t>Падение рынка</t>
  </si>
  <si>
    <t>Доля лизинга без коэф.3</t>
  </si>
  <si>
    <t>ИТОГО</t>
  </si>
  <si>
    <t>Итого Объем новых сделок с ускоренной амортизацией</t>
  </si>
  <si>
    <t>Итого доля новых сделок с ускоренной амортизации</t>
  </si>
  <si>
    <t>Лизинговая ставка, включая  налог на им-во, но без страховки</t>
  </si>
  <si>
    <t>Стоимость имущества, передаваемого в лизинг с НДС</t>
  </si>
  <si>
    <t>Оценка потерь рынка при отмене коэффициента ускорения</t>
  </si>
  <si>
    <t>Доля сделок без коэффициента 3</t>
  </si>
  <si>
    <t>Приложение 1</t>
  </si>
  <si>
    <t>Приложение 2</t>
  </si>
  <si>
    <t>Дополнительная прибыль за 1  год</t>
  </si>
  <si>
    <t>Дополнительная прибыль за срок лизинга</t>
  </si>
  <si>
    <t xml:space="preserve">Источник: исследование консалтингового агентства «Территория лизинга».  </t>
  </si>
  <si>
    <t>Результаты исследования опроса 194 Лизингополучателей</t>
  </si>
  <si>
    <t>С вопросом: «Будете ли вы использовать в своей деятельности лизинг, как способ обновления ОПФ, в случае отмены повышающего коэффициента до 3».</t>
  </si>
  <si>
    <t>Приложение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</si>
</sst>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10" fontId="37" fillId="0" borderId="0" xfId="55" applyNumberFormat="1" applyFont="1" applyAlignment="1">
      <alignment/>
    </xf>
    <xf numFmtId="164" fontId="37" fillId="0" borderId="0" xfId="55" applyNumberFormat="1" applyFont="1" applyAlignment="1">
      <alignment/>
    </xf>
    <xf numFmtId="0" fontId="46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5" applyFont="1" applyBorder="1" applyAlignment="1">
      <alignment/>
    </xf>
    <xf numFmtId="9" fontId="0" fillId="0" borderId="10" xfId="0" applyNumberFormat="1" applyBorder="1" applyAlignment="1">
      <alignment/>
    </xf>
    <xf numFmtId="4" fontId="46" fillId="0" borderId="10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4" fontId="47" fillId="0" borderId="16" xfId="0" applyNumberFormat="1" applyFont="1" applyBorder="1" applyAlignment="1">
      <alignment horizontal="center" vertical="top" wrapText="1"/>
    </xf>
    <xf numFmtId="3" fontId="47" fillId="0" borderId="16" xfId="0" applyNumberFormat="1" applyFont="1" applyBorder="1" applyAlignment="1">
      <alignment horizontal="center" vertical="top" wrapText="1"/>
    </xf>
    <xf numFmtId="4" fontId="47" fillId="0" borderId="17" xfId="0" applyNumberFormat="1" applyFont="1" applyBorder="1" applyAlignment="1">
      <alignment horizontal="center" vertical="top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4" fontId="37" fillId="0" borderId="16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4" fontId="37" fillId="0" borderId="17" xfId="0" applyNumberFormat="1" applyFont="1" applyBorder="1" applyAlignment="1">
      <alignment/>
    </xf>
    <xf numFmtId="4" fontId="47" fillId="33" borderId="16" xfId="0" applyNumberFormat="1" applyFont="1" applyFill="1" applyBorder="1" applyAlignment="1">
      <alignment horizontal="center" vertical="top" wrapText="1"/>
    </xf>
    <xf numFmtId="4" fontId="37" fillId="33" borderId="17" xfId="0" applyNumberFormat="1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0" xfId="0" applyFont="1" applyAlignment="1">
      <alignment/>
    </xf>
    <xf numFmtId="10" fontId="4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34" borderId="0" xfId="0" applyNumberFormat="1" applyFont="1" applyFill="1" applyAlignment="1">
      <alignment horizontal="right"/>
    </xf>
    <xf numFmtId="164" fontId="0" fillId="0" borderId="10" xfId="55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34" borderId="10" xfId="55" applyNumberFormat="1" applyFont="1" applyFill="1" applyBorder="1" applyAlignment="1">
      <alignment/>
    </xf>
    <xf numFmtId="164" fontId="0" fillId="0" borderId="18" xfId="55" applyNumberFormat="1" applyFont="1" applyBorder="1" applyAlignment="1">
      <alignment/>
    </xf>
    <xf numFmtId="10" fontId="0" fillId="0" borderId="18" xfId="55" applyNumberFormat="1" applyFont="1" applyBorder="1" applyAlignment="1">
      <alignment/>
    </xf>
    <xf numFmtId="4" fontId="0" fillId="34" borderId="18" xfId="0" applyNumberFormat="1" applyFill="1" applyBorder="1" applyAlignment="1">
      <alignment/>
    </xf>
    <xf numFmtId="10" fontId="0" fillId="34" borderId="18" xfId="55" applyNumberFormat="1" applyFont="1" applyFill="1" applyBorder="1" applyAlignment="1">
      <alignment/>
    </xf>
    <xf numFmtId="164" fontId="37" fillId="0" borderId="16" xfId="55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10" fontId="37" fillId="0" borderId="16" xfId="55" applyNumberFormat="1" applyFont="1" applyBorder="1" applyAlignment="1">
      <alignment/>
    </xf>
    <xf numFmtId="4" fontId="37" fillId="35" borderId="16" xfId="0" applyNumberFormat="1" applyFont="1" applyFill="1" applyBorder="1" applyAlignment="1">
      <alignment/>
    </xf>
    <xf numFmtId="164" fontId="0" fillId="0" borderId="13" xfId="55" applyNumberFormat="1" applyFont="1" applyBorder="1" applyAlignment="1">
      <alignment/>
    </xf>
    <xf numFmtId="10" fontId="0" fillId="0" borderId="13" xfId="55" applyNumberFormat="1" applyFont="1" applyBorder="1" applyAlignment="1">
      <alignment/>
    </xf>
    <xf numFmtId="4" fontId="0" fillId="34" borderId="13" xfId="0" applyNumberFormat="1" applyFill="1" applyBorder="1" applyAlignment="1">
      <alignment/>
    </xf>
    <xf numFmtId="10" fontId="0" fillId="34" borderId="13" xfId="55" applyNumberFormat="1" applyFont="1" applyFill="1" applyBorder="1" applyAlignment="1">
      <alignment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4" fontId="37" fillId="0" borderId="16" xfId="0" applyNumberFormat="1" applyFont="1" applyBorder="1" applyAlignment="1">
      <alignment horizontal="center" wrapText="1"/>
    </xf>
    <xf numFmtId="3" fontId="37" fillId="0" borderId="16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7" fillId="0" borderId="0" xfId="0" applyFont="1" applyBorder="1" applyAlignment="1">
      <alignment/>
    </xf>
    <xf numFmtId="164" fontId="37" fillId="0" borderId="0" xfId="55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37" fillId="0" borderId="0" xfId="55" applyNumberFormat="1" applyFont="1" applyBorder="1" applyAlignment="1">
      <alignment/>
    </xf>
    <xf numFmtId="164" fontId="37" fillId="35" borderId="23" xfId="55" applyNumberFormat="1" applyFont="1" applyFill="1" applyBorder="1" applyAlignment="1">
      <alignment/>
    </xf>
    <xf numFmtId="4" fontId="37" fillId="35" borderId="23" xfId="0" applyNumberFormat="1" applyFont="1" applyFill="1" applyBorder="1" applyAlignment="1">
      <alignment/>
    </xf>
    <xf numFmtId="4" fontId="37" fillId="0" borderId="24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2" fontId="37" fillId="0" borderId="16" xfId="0" applyNumberFormat="1" applyFont="1" applyBorder="1" applyAlignment="1">
      <alignment horizontal="center"/>
    </xf>
    <xf numFmtId="4" fontId="37" fillId="0" borderId="16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center" vertical="top" wrapText="1"/>
    </xf>
    <xf numFmtId="9" fontId="37" fillId="35" borderId="23" xfId="55" applyFont="1" applyFill="1" applyBorder="1" applyAlignment="1">
      <alignment/>
    </xf>
    <xf numFmtId="4" fontId="37" fillId="33" borderId="2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0" fontId="37" fillId="0" borderId="24" xfId="55" applyNumberFormat="1" applyFont="1" applyBorder="1" applyAlignment="1">
      <alignment/>
    </xf>
    <xf numFmtId="166" fontId="37" fillId="35" borderId="23" xfId="0" applyNumberFormat="1" applyFont="1" applyFill="1" applyBorder="1" applyAlignment="1">
      <alignment/>
    </xf>
    <xf numFmtId="9" fontId="49" fillId="0" borderId="0" xfId="0" applyNumberFormat="1" applyFont="1" applyAlignment="1">
      <alignment horizontal="right"/>
    </xf>
    <xf numFmtId="9" fontId="49" fillId="0" borderId="0" xfId="0" applyNumberFormat="1" applyFont="1" applyAlignment="1">
      <alignment horizontal="center"/>
    </xf>
    <xf numFmtId="0" fontId="0" fillId="0" borderId="26" xfId="0" applyBorder="1" applyAlignment="1">
      <alignment/>
    </xf>
    <xf numFmtId="4" fontId="37" fillId="33" borderId="27" xfId="0" applyNumberFormat="1" applyFont="1" applyFill="1" applyBorder="1" applyAlignment="1">
      <alignment/>
    </xf>
    <xf numFmtId="0" fontId="46" fillId="0" borderId="28" xfId="0" applyFont="1" applyBorder="1" applyAlignment="1">
      <alignment vertical="top" wrapText="1"/>
    </xf>
    <xf numFmtId="0" fontId="46" fillId="0" borderId="26" xfId="0" applyFont="1" applyBorder="1" applyAlignment="1">
      <alignment horizontal="center" vertical="top" wrapText="1"/>
    </xf>
    <xf numFmtId="165" fontId="46" fillId="0" borderId="26" xfId="0" applyNumberFormat="1" applyFont="1" applyBorder="1" applyAlignment="1">
      <alignment horizontal="center" vertical="top" wrapText="1"/>
    </xf>
    <xf numFmtId="4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9" fontId="0" fillId="0" borderId="26" xfId="55" applyFont="1" applyBorder="1" applyAlignment="1">
      <alignment/>
    </xf>
    <xf numFmtId="9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10" fontId="0" fillId="0" borderId="26" xfId="0" applyNumberFormat="1" applyBorder="1" applyAlignment="1">
      <alignment/>
    </xf>
    <xf numFmtId="0" fontId="46" fillId="0" borderId="30" xfId="0" applyFont="1" applyBorder="1" applyAlignment="1">
      <alignment vertical="top" wrapText="1"/>
    </xf>
    <xf numFmtId="0" fontId="46" fillId="0" borderId="31" xfId="0" applyFont="1" applyBorder="1" applyAlignment="1">
      <alignment horizontal="center" vertical="top" wrapText="1"/>
    </xf>
    <xf numFmtId="4" fontId="0" fillId="0" borderId="32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9" fontId="0" fillId="0" borderId="31" xfId="55" applyFont="1" applyBorder="1" applyAlignment="1">
      <alignment/>
    </xf>
    <xf numFmtId="9" fontId="0" fillId="0" borderId="31" xfId="0" applyNumberFormat="1" applyBorder="1" applyAlignment="1">
      <alignment/>
    </xf>
    <xf numFmtId="4" fontId="0" fillId="0" borderId="33" xfId="0" applyNumberFormat="1" applyBorder="1" applyAlignment="1">
      <alignment/>
    </xf>
    <xf numFmtId="9" fontId="0" fillId="0" borderId="32" xfId="0" applyNumberFormat="1" applyBorder="1" applyAlignment="1">
      <alignment/>
    </xf>
    <xf numFmtId="10" fontId="0" fillId="0" borderId="32" xfId="0" applyNumberFormat="1" applyBorder="1" applyAlignment="1">
      <alignment/>
    </xf>
    <xf numFmtId="4" fontId="0" fillId="0" borderId="34" xfId="0" applyNumberFormat="1" applyBorder="1" applyAlignment="1">
      <alignment/>
    </xf>
    <xf numFmtId="9" fontId="37" fillId="0" borderId="16" xfId="55" applyFont="1" applyBorder="1" applyAlignment="1">
      <alignment/>
    </xf>
    <xf numFmtId="0" fontId="51" fillId="0" borderId="0" xfId="0" applyFont="1" applyAlignment="1">
      <alignment/>
    </xf>
    <xf numFmtId="0" fontId="37" fillId="0" borderId="35" xfId="0" applyFont="1" applyBorder="1" applyAlignment="1">
      <alignment horizontal="center" wrapText="1"/>
    </xf>
    <xf numFmtId="164" fontId="0" fillId="0" borderId="36" xfId="55" applyNumberFormat="1" applyFont="1" applyBorder="1" applyAlignment="1">
      <alignment/>
    </xf>
    <xf numFmtId="164" fontId="0" fillId="0" borderId="37" xfId="55" applyNumberFormat="1" applyFont="1" applyBorder="1" applyAlignment="1">
      <alignment/>
    </xf>
    <xf numFmtId="164" fontId="0" fillId="0" borderId="38" xfId="55" applyNumberFormat="1" applyFont="1" applyBorder="1" applyAlignment="1">
      <alignment/>
    </xf>
    <xf numFmtId="4" fontId="37" fillId="0" borderId="35" xfId="0" applyNumberFormat="1" applyFont="1" applyBorder="1" applyAlignment="1">
      <alignment/>
    </xf>
    <xf numFmtId="0" fontId="37" fillId="34" borderId="17" xfId="0" applyFont="1" applyFill="1" applyBorder="1" applyAlignment="1">
      <alignment horizontal="center" wrapText="1"/>
    </xf>
    <xf numFmtId="4" fontId="0" fillId="34" borderId="14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39" xfId="0" applyNumberFormat="1" applyFill="1" applyBorder="1" applyAlignment="1">
      <alignment/>
    </xf>
    <xf numFmtId="4" fontId="37" fillId="34" borderId="17" xfId="0" applyNumberFormat="1" applyFont="1" applyFill="1" applyBorder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left" readingOrder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readingOrder="1"/>
    </xf>
    <xf numFmtId="9" fontId="37" fillId="35" borderId="23" xfId="55" applyNumberFormat="1" applyFont="1" applyFill="1" applyBorder="1" applyAlignment="1">
      <alignment/>
    </xf>
    <xf numFmtId="0" fontId="52" fillId="0" borderId="0" xfId="0" applyFont="1" applyAlignment="1">
      <alignment horizontal="left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75"/>
          <c:w val="0.591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Исследование!$A$13</c:f>
              <c:strCache>
                <c:ptCount val="1"/>
                <c:pt idx="0">
                  <c:v>Крупный бизнес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Исследование!$B$12:$D$12</c:f>
              <c:strCache/>
            </c:strRef>
          </c:cat>
          <c:val>
            <c:numRef>
              <c:f>Исследование!$B$13:$D$13</c:f>
              <c:numCache/>
            </c:numRef>
          </c:val>
          <c:shape val="box"/>
        </c:ser>
        <c:ser>
          <c:idx val="1"/>
          <c:order val="1"/>
          <c:tx>
            <c:strRef>
              <c:f>Исследование!$A$14</c:f>
              <c:strCache>
                <c:ptCount val="1"/>
                <c:pt idx="0">
                  <c:v>Средний бизнес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Исследование!$B$12:$D$12</c:f>
              <c:strCache/>
            </c:strRef>
          </c:cat>
          <c:val>
            <c:numRef>
              <c:f>Исследование!$B$14:$D$14</c:f>
              <c:numCache/>
            </c:numRef>
          </c:val>
          <c:shape val="box"/>
        </c:ser>
        <c:ser>
          <c:idx val="2"/>
          <c:order val="2"/>
          <c:tx>
            <c:strRef>
              <c:f>Исследование!$A$15</c:f>
              <c:strCache>
                <c:ptCount val="1"/>
                <c:pt idx="0">
                  <c:v>Малый бизнес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Исследование!$B$12:$D$12</c:f>
              <c:strCache/>
            </c:strRef>
          </c:cat>
          <c:val>
            <c:numRef>
              <c:f>Исследование!$B$15:$D$15</c:f>
              <c:numCache/>
            </c:numRef>
          </c:val>
          <c:shape val="box"/>
        </c:ser>
        <c:shape val="box"/>
        <c:axId val="31823783"/>
        <c:axId val="17978592"/>
      </c:bar3D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4775"/>
          <c:w val="0.34825"/>
          <c:h val="0.6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</xdr:row>
      <xdr:rowOff>0</xdr:rowOff>
    </xdr:from>
    <xdr:to>
      <xdr:col>13</xdr:col>
      <xdr:colOff>295275</xdr:colOff>
      <xdr:row>20</xdr:row>
      <xdr:rowOff>19050</xdr:rowOff>
    </xdr:to>
    <xdr:graphicFrame>
      <xdr:nvGraphicFramePr>
        <xdr:cNvPr id="1" name="Диаграмма 2"/>
        <xdr:cNvGraphicFramePr/>
      </xdr:nvGraphicFramePr>
      <xdr:xfrm>
        <a:off x="3905250" y="1476375"/>
        <a:ext cx="4572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6.8515625" style="0" customWidth="1"/>
    <col min="2" max="2" width="16.8515625" style="0" customWidth="1"/>
    <col min="4" max="4" width="10.00390625" style="0" customWidth="1"/>
    <col min="5" max="5" width="10.140625" style="0" customWidth="1"/>
    <col min="9" max="9" width="11.421875" style="0" customWidth="1"/>
    <col min="11" max="11" width="0" style="0" hidden="1" customWidth="1" outlineLevel="1"/>
    <col min="12" max="12" width="9.140625" style="0" customWidth="1" collapsed="1"/>
    <col min="22" max="22" width="12.28125" style="0" customWidth="1"/>
    <col min="23" max="23" width="9.7109375" style="0" hidden="1" customWidth="1" outlineLevel="1"/>
    <col min="24" max="24" width="9.140625" style="0" customWidth="1" collapsed="1"/>
  </cols>
  <sheetData>
    <row r="1" ht="18.75">
      <c r="V1" s="121" t="s">
        <v>111</v>
      </c>
    </row>
    <row r="2" ht="19.5" thickBot="1">
      <c r="A2" s="110" t="s">
        <v>87</v>
      </c>
    </row>
    <row r="3" spans="1:23" ht="120.75" thickBot="1">
      <c r="A3" s="58" t="s">
        <v>62</v>
      </c>
      <c r="B3" s="59" t="s">
        <v>61</v>
      </c>
      <c r="C3" s="59" t="s">
        <v>68</v>
      </c>
      <c r="D3" s="59" t="s">
        <v>52</v>
      </c>
      <c r="E3" s="59" t="s">
        <v>53</v>
      </c>
      <c r="F3" s="59" t="s">
        <v>54</v>
      </c>
      <c r="G3" s="59" t="s">
        <v>64</v>
      </c>
      <c r="H3" s="60" t="s">
        <v>55</v>
      </c>
      <c r="I3" s="61" t="s">
        <v>56</v>
      </c>
      <c r="J3" s="61" t="s">
        <v>57</v>
      </c>
      <c r="K3" s="60" t="s">
        <v>63</v>
      </c>
      <c r="L3" s="60" t="s">
        <v>71</v>
      </c>
      <c r="M3" s="60" t="s">
        <v>70</v>
      </c>
      <c r="N3" s="60" t="s">
        <v>103</v>
      </c>
      <c r="O3" s="60" t="s">
        <v>110</v>
      </c>
      <c r="P3" s="61" t="s">
        <v>58</v>
      </c>
      <c r="Q3" s="59" t="s">
        <v>113</v>
      </c>
      <c r="R3" s="59" t="s">
        <v>114</v>
      </c>
      <c r="S3" s="62" t="s">
        <v>66</v>
      </c>
      <c r="T3" s="62" t="s">
        <v>67</v>
      </c>
      <c r="U3" s="62" t="s">
        <v>60</v>
      </c>
      <c r="V3" s="116" t="s">
        <v>59</v>
      </c>
      <c r="W3" s="111" t="s">
        <v>65</v>
      </c>
    </row>
    <row r="4" spans="1:23" ht="15.75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11</v>
      </c>
      <c r="M4" s="59">
        <v>12</v>
      </c>
      <c r="N4" s="59">
        <v>13</v>
      </c>
      <c r="O4" s="59">
        <v>14</v>
      </c>
      <c r="P4" s="59">
        <v>15</v>
      </c>
      <c r="Q4" s="59">
        <v>16</v>
      </c>
      <c r="R4" s="59">
        <v>17</v>
      </c>
      <c r="S4" s="59">
        <v>18</v>
      </c>
      <c r="T4" s="59">
        <v>19</v>
      </c>
      <c r="U4" s="59">
        <v>20</v>
      </c>
      <c r="V4" s="59">
        <v>21</v>
      </c>
      <c r="W4" s="59">
        <v>22</v>
      </c>
    </row>
    <row r="5" spans="1:23" ht="15">
      <c r="A5" s="63">
        <v>1</v>
      </c>
      <c r="B5" s="18" t="s">
        <v>46</v>
      </c>
      <c r="C5" s="54">
        <v>0.328</v>
      </c>
      <c r="D5" s="17">
        <f>C5*$D$11</f>
        <v>492</v>
      </c>
      <c r="E5" s="17">
        <f aca="true" t="shared" si="0" ref="E5:E10">D5/1.18</f>
        <v>416.94915254237293</v>
      </c>
      <c r="F5" s="17">
        <v>9</v>
      </c>
      <c r="G5" s="55">
        <v>0.17</v>
      </c>
      <c r="H5" s="17">
        <f aca="true" t="shared" si="1" ref="H5:H10">1+1/2*G5*F5</f>
        <v>1.7650000000000001</v>
      </c>
      <c r="I5" s="17">
        <f>E5/H5</f>
        <v>236.23181447159936</v>
      </c>
      <c r="J5" s="17">
        <f aca="true" t="shared" si="2" ref="J5:J10">I5/F5</f>
        <v>26.247979385733263</v>
      </c>
      <c r="K5" s="17">
        <v>3</v>
      </c>
      <c r="L5" s="55">
        <v>0.2</v>
      </c>
      <c r="M5" s="55">
        <v>0.2</v>
      </c>
      <c r="N5" s="55"/>
      <c r="O5" s="55">
        <f>SUM(L5:N5)</f>
        <v>0.4</v>
      </c>
      <c r="P5" s="17">
        <f>(1-O5)*J5/3+O5*J5</f>
        <v>15.74878763143996</v>
      </c>
      <c r="Q5" s="17">
        <f aca="true" t="shared" si="3" ref="Q5:Q10">J5-P5</f>
        <v>10.499191754293303</v>
      </c>
      <c r="R5" s="17">
        <f aca="true" t="shared" si="4" ref="R5:R10">Q5*F5</f>
        <v>94.49272578863973</v>
      </c>
      <c r="S5" s="56">
        <f aca="true" t="shared" si="5" ref="S5:T11">Q5*0.2</f>
        <v>2.099838350858661</v>
      </c>
      <c r="T5" s="56">
        <f t="shared" si="5"/>
        <v>18.89854515772795</v>
      </c>
      <c r="U5" s="57">
        <v>0.01</v>
      </c>
      <c r="V5" s="117">
        <f aca="true" t="shared" si="6" ref="V5:V10">F5/2*I5*U5</f>
        <v>10.63043165122197</v>
      </c>
      <c r="W5" s="112">
        <f aca="true" t="shared" si="7" ref="W5:W10">G5/1.18-U5-0.022</f>
        <v>0.1120677966101695</v>
      </c>
    </row>
    <row r="6" spans="1:23" ht="15">
      <c r="A6" s="64">
        <v>2</v>
      </c>
      <c r="B6" s="11" t="s">
        <v>50</v>
      </c>
      <c r="C6" s="42">
        <v>0.216</v>
      </c>
      <c r="D6" s="9">
        <f>C6*$D$11</f>
        <v>324</v>
      </c>
      <c r="E6" s="9">
        <f t="shared" si="0"/>
        <v>274.5762711864407</v>
      </c>
      <c r="F6" s="9">
        <v>6</v>
      </c>
      <c r="G6" s="43">
        <v>0.185</v>
      </c>
      <c r="H6" s="9">
        <f t="shared" si="1"/>
        <v>1.555</v>
      </c>
      <c r="I6" s="9">
        <f>E6/H6</f>
        <v>176.57638018420624</v>
      </c>
      <c r="J6" s="9">
        <f t="shared" si="2"/>
        <v>29.429396697367707</v>
      </c>
      <c r="K6" s="9">
        <v>3</v>
      </c>
      <c r="L6" s="43"/>
      <c r="M6" s="43">
        <v>0.15</v>
      </c>
      <c r="N6" s="43"/>
      <c r="O6" s="55">
        <f>SUM(L6:N6)</f>
        <v>0.15</v>
      </c>
      <c r="P6" s="17">
        <f>(1-O6)*J6/3+O6*J6</f>
        <v>12.752738568859339</v>
      </c>
      <c r="Q6" s="9">
        <f t="shared" si="3"/>
        <v>16.676658128508368</v>
      </c>
      <c r="R6" s="9">
        <f t="shared" si="4"/>
        <v>100.05994877105022</v>
      </c>
      <c r="S6" s="44">
        <f t="shared" si="5"/>
        <v>3.3353316257016736</v>
      </c>
      <c r="T6" s="44">
        <f t="shared" si="5"/>
        <v>20.011989754210045</v>
      </c>
      <c r="U6" s="45">
        <v>0.015</v>
      </c>
      <c r="V6" s="118">
        <f t="shared" si="6"/>
        <v>7.94593710828928</v>
      </c>
      <c r="W6" s="113">
        <f t="shared" si="7"/>
        <v>0.11977966101694917</v>
      </c>
    </row>
    <row r="7" spans="1:23" ht="15">
      <c r="A7" s="64">
        <v>3</v>
      </c>
      <c r="B7" s="11" t="s">
        <v>51</v>
      </c>
      <c r="C7" s="42">
        <v>0.243</v>
      </c>
      <c r="D7" s="9">
        <f>C7*$D$11</f>
        <v>364.5</v>
      </c>
      <c r="E7" s="9">
        <f t="shared" si="0"/>
        <v>308.8983050847458</v>
      </c>
      <c r="F7" s="9">
        <v>4</v>
      </c>
      <c r="G7" s="43">
        <v>0.21</v>
      </c>
      <c r="H7" s="9">
        <f t="shared" si="1"/>
        <v>1.42</v>
      </c>
      <c r="I7" s="9">
        <f>E7/H7</f>
        <v>217.53401766531397</v>
      </c>
      <c r="J7" s="9">
        <f t="shared" si="2"/>
        <v>54.38350441632849</v>
      </c>
      <c r="K7" s="9">
        <v>3</v>
      </c>
      <c r="L7" s="43"/>
      <c r="M7" s="43"/>
      <c r="N7" s="43"/>
      <c r="O7" s="55">
        <f>SUM(L7:N7)</f>
        <v>0</v>
      </c>
      <c r="P7" s="17">
        <f>(1-O7)*J7/3+O7*J7</f>
        <v>18.12783480544283</v>
      </c>
      <c r="Q7" s="9">
        <f t="shared" si="3"/>
        <v>36.25566961088566</v>
      </c>
      <c r="R7" s="9">
        <f t="shared" si="4"/>
        <v>145.02267844354265</v>
      </c>
      <c r="S7" s="44">
        <f t="shared" si="5"/>
        <v>7.251133922177132</v>
      </c>
      <c r="T7" s="44">
        <f t="shared" si="5"/>
        <v>29.00453568870853</v>
      </c>
      <c r="U7" s="45">
        <v>0.025</v>
      </c>
      <c r="V7" s="118">
        <f t="shared" si="6"/>
        <v>10.876700883265698</v>
      </c>
      <c r="W7" s="113">
        <f t="shared" si="7"/>
        <v>0.13096610169491527</v>
      </c>
    </row>
    <row r="8" spans="1:23" ht="15">
      <c r="A8" s="64">
        <v>4</v>
      </c>
      <c r="B8" s="11" t="s">
        <v>47</v>
      </c>
      <c r="C8" s="42">
        <v>0.15</v>
      </c>
      <c r="D8" s="9">
        <f>C8*$D$11</f>
        <v>225</v>
      </c>
      <c r="E8" s="9">
        <f t="shared" si="0"/>
        <v>190.67796610169492</v>
      </c>
      <c r="F8" s="9">
        <v>2.5</v>
      </c>
      <c r="G8" s="43">
        <v>0.24</v>
      </c>
      <c r="H8" s="9">
        <f t="shared" si="1"/>
        <v>1.3</v>
      </c>
      <c r="I8" s="9">
        <f>E8/H8</f>
        <v>146.6753585397653</v>
      </c>
      <c r="J8" s="9">
        <f t="shared" si="2"/>
        <v>58.670143415906125</v>
      </c>
      <c r="K8" s="9">
        <v>1</v>
      </c>
      <c r="L8" s="43"/>
      <c r="M8" s="43"/>
      <c r="N8" s="43">
        <v>0.3</v>
      </c>
      <c r="O8" s="55">
        <f>SUM(L8:N8)</f>
        <v>0.3</v>
      </c>
      <c r="P8" s="17">
        <f>(1-O8)*J8/3+O8*J8</f>
        <v>31.290743155149933</v>
      </c>
      <c r="Q8" s="9">
        <f t="shared" si="3"/>
        <v>27.379400260756192</v>
      </c>
      <c r="R8" s="9">
        <f t="shared" si="4"/>
        <v>68.44850065189048</v>
      </c>
      <c r="S8" s="44">
        <f t="shared" si="5"/>
        <v>5.475880052151239</v>
      </c>
      <c r="T8" s="44">
        <f t="shared" si="5"/>
        <v>13.689700130378098</v>
      </c>
      <c r="U8" s="45">
        <v>0.035</v>
      </c>
      <c r="V8" s="118">
        <f t="shared" si="6"/>
        <v>6.417046936114732</v>
      </c>
      <c r="W8" s="113">
        <f t="shared" si="7"/>
        <v>0.1463898305084746</v>
      </c>
    </row>
    <row r="9" spans="1:23" ht="15">
      <c r="A9" s="64">
        <v>5</v>
      </c>
      <c r="B9" s="11" t="s">
        <v>48</v>
      </c>
      <c r="C9" s="42">
        <v>0.054</v>
      </c>
      <c r="D9" s="9">
        <f>C9*$D$11</f>
        <v>81</v>
      </c>
      <c r="E9" s="9">
        <f t="shared" si="0"/>
        <v>68.64406779661017</v>
      </c>
      <c r="F9" s="9">
        <v>1.5</v>
      </c>
      <c r="G9" s="43">
        <v>0.26</v>
      </c>
      <c r="H9" s="9">
        <f t="shared" si="1"/>
        <v>1.195</v>
      </c>
      <c r="I9" s="9">
        <f>E9/H9</f>
        <v>57.44273455783278</v>
      </c>
      <c r="J9" s="9">
        <f t="shared" si="2"/>
        <v>38.29515637188852</v>
      </c>
      <c r="K9" s="9">
        <v>1</v>
      </c>
      <c r="L9" s="43"/>
      <c r="M9" s="43"/>
      <c r="N9" s="43">
        <v>1</v>
      </c>
      <c r="O9" s="55">
        <f>SUM(L9:N9)</f>
        <v>1</v>
      </c>
      <c r="P9" s="17">
        <f>(1-O9)*J9/3+O9*J9</f>
        <v>38.29515637188852</v>
      </c>
      <c r="Q9" s="9">
        <f t="shared" si="3"/>
        <v>0</v>
      </c>
      <c r="R9" s="9">
        <f t="shared" si="4"/>
        <v>0</v>
      </c>
      <c r="S9" s="44">
        <f t="shared" si="5"/>
        <v>0</v>
      </c>
      <c r="T9" s="44">
        <f t="shared" si="5"/>
        <v>0</v>
      </c>
      <c r="U9" s="45">
        <v>0.07</v>
      </c>
      <c r="V9" s="118">
        <f t="shared" si="6"/>
        <v>3.0157435642862214</v>
      </c>
      <c r="W9" s="113">
        <f t="shared" si="7"/>
        <v>0.12833898305084748</v>
      </c>
    </row>
    <row r="10" spans="1:23" ht="15.75" thickBot="1">
      <c r="A10" s="65">
        <v>6</v>
      </c>
      <c r="B10" s="27" t="s">
        <v>49</v>
      </c>
      <c r="C10" s="46">
        <v>0.009</v>
      </c>
      <c r="D10" s="26">
        <f>C10*$D$11</f>
        <v>13.499999999999998</v>
      </c>
      <c r="E10" s="26">
        <f t="shared" si="0"/>
        <v>11.440677966101694</v>
      </c>
      <c r="F10" s="26">
        <v>1</v>
      </c>
      <c r="G10" s="47">
        <v>0.26</v>
      </c>
      <c r="H10" s="26">
        <f t="shared" si="1"/>
        <v>1.13</v>
      </c>
      <c r="I10" s="26">
        <f>E10/H10</f>
        <v>10.124493775311235</v>
      </c>
      <c r="J10" s="26">
        <f t="shared" si="2"/>
        <v>10.124493775311235</v>
      </c>
      <c r="K10" s="26">
        <v>1</v>
      </c>
      <c r="L10" s="47"/>
      <c r="M10" s="47"/>
      <c r="N10" s="47">
        <v>1</v>
      </c>
      <c r="O10" s="55">
        <f>SUM(L10:N10)</f>
        <v>1</v>
      </c>
      <c r="P10" s="17">
        <f>(1-O10)*J10/3+O10*J10</f>
        <v>10.124493775311235</v>
      </c>
      <c r="Q10" s="26">
        <f t="shared" si="3"/>
        <v>0</v>
      </c>
      <c r="R10" s="26">
        <f t="shared" si="4"/>
        <v>0</v>
      </c>
      <c r="S10" s="48">
        <f t="shared" si="5"/>
        <v>0</v>
      </c>
      <c r="T10" s="48">
        <f t="shared" si="5"/>
        <v>0</v>
      </c>
      <c r="U10" s="49">
        <v>0.07</v>
      </c>
      <c r="V10" s="119">
        <f t="shared" si="6"/>
        <v>0.35435728213589324</v>
      </c>
      <c r="W10" s="114">
        <f t="shared" si="7"/>
        <v>0.12833898305084748</v>
      </c>
    </row>
    <row r="11" spans="1:23" ht="15.75" thickBot="1">
      <c r="A11" s="28"/>
      <c r="B11" s="29"/>
      <c r="C11" s="50">
        <f>SUM(C5:C10)</f>
        <v>1</v>
      </c>
      <c r="D11" s="53">
        <v>1500</v>
      </c>
      <c r="E11" s="51">
        <f>SUM(E5:E10)</f>
        <v>1271.1864406779662</v>
      </c>
      <c r="F11" s="51"/>
      <c r="G11" s="52">
        <f>SUMPRODUCT(D5:D10,G5:G10)/D11</f>
        <v>0.19913</v>
      </c>
      <c r="H11" s="51"/>
      <c r="I11" s="51">
        <f>SUM(I5:I10)</f>
        <v>844.5847991940288</v>
      </c>
      <c r="J11" s="53">
        <f>SUBTOTAL(9,J5:J10)</f>
        <v>217.15067406253533</v>
      </c>
      <c r="K11" s="51"/>
      <c r="L11" s="82">
        <f>SUMPRODUCT(L5:L10,$D$5:$D$10)/$D$11</f>
        <v>0.0656</v>
      </c>
      <c r="M11" s="82">
        <f>SUMPRODUCT(M5:M10,$D$5:$D$10)/$D$11</f>
        <v>0.098</v>
      </c>
      <c r="N11" s="82">
        <f>SUMPRODUCT(N5:N10,$D$5:$D$10)/$D$11</f>
        <v>0.108</v>
      </c>
      <c r="O11" s="82">
        <f>SUMPRODUCT(O5:O10,$D$5:$D$10)/$D$11</f>
        <v>0.2716</v>
      </c>
      <c r="P11" s="72">
        <f>SUBTOTAL(9,P5:P10)</f>
        <v>126.33975430809181</v>
      </c>
      <c r="Q11" s="71">
        <f>SUBTOTAL(9,Q5:Q10)</f>
        <v>90.81091975444352</v>
      </c>
      <c r="R11" s="73">
        <f>SUBTOTAL(9,R5:R10)</f>
        <v>408.02385365512305</v>
      </c>
      <c r="S11" s="53">
        <f t="shared" si="5"/>
        <v>18.162183950888704</v>
      </c>
      <c r="T11" s="53">
        <f t="shared" si="5"/>
        <v>81.60477073102462</v>
      </c>
      <c r="U11" s="82">
        <f>SUMPRODUCT(U5:U10,$D$5:$D$10)/$D$11</f>
        <v>0.022255</v>
      </c>
      <c r="V11" s="120">
        <f>SUM(V5:V10)</f>
        <v>39.240217425313794</v>
      </c>
      <c r="W11" s="115"/>
    </row>
    <row r="12" spans="1:23" ht="15.75" hidden="1" outlineLevel="1" thickBot="1">
      <c r="A12" s="66"/>
      <c r="B12" s="66"/>
      <c r="C12" s="67"/>
      <c r="D12" s="68"/>
      <c r="E12" s="68"/>
      <c r="F12" s="68"/>
      <c r="G12" s="69"/>
      <c r="H12" s="68"/>
      <c r="I12" s="68"/>
      <c r="J12" s="68"/>
      <c r="K12" s="68"/>
      <c r="L12" s="69">
        <f>'Буд.Сделки'!L44</f>
        <v>0.07500000000000004</v>
      </c>
      <c r="M12" s="69">
        <f>'Буд.Сделки'!K44</f>
        <v>0.09957000000000005</v>
      </c>
      <c r="N12" s="69">
        <f>'Буд.Сделки'!M44</f>
        <v>0.10140000000000006</v>
      </c>
      <c r="O12" s="68"/>
      <c r="P12" s="68"/>
      <c r="Q12" s="68"/>
      <c r="R12" s="68"/>
      <c r="S12" s="68"/>
      <c r="T12" s="68"/>
      <c r="U12" s="68"/>
      <c r="V12" s="68"/>
      <c r="W12" s="68"/>
    </row>
    <row r="13" spans="8:20" ht="15.75" collapsed="1" thickBot="1">
      <c r="H13" s="40" t="s">
        <v>84</v>
      </c>
      <c r="I13" s="71">
        <f>I11*1.18</f>
        <v>996.610063048954</v>
      </c>
      <c r="J13" s="4"/>
      <c r="K13" s="1"/>
      <c r="L13" s="1"/>
      <c r="N13" s="1"/>
      <c r="O13" s="1"/>
      <c r="Q13" s="1"/>
      <c r="R13" s="1"/>
      <c r="S13" s="41" t="s">
        <v>85</v>
      </c>
      <c r="T13" s="70">
        <f>T11/I13</f>
        <v>0.08188234672382207</v>
      </c>
    </row>
    <row r="14" spans="21:22" ht="15.75" thickBot="1">
      <c r="U14" s="40" t="s">
        <v>86</v>
      </c>
      <c r="V14" s="83">
        <f>T11/V11</f>
        <v>2.0796207586347757</v>
      </c>
    </row>
    <row r="16" spans="1:23" ht="15" hidden="1" outlineLevel="1">
      <c r="A16">
        <v>1</v>
      </c>
      <c r="B16">
        <v>2</v>
      </c>
      <c r="C16">
        <v>3</v>
      </c>
      <c r="D16">
        <v>4</v>
      </c>
      <c r="E16">
        <v>5</v>
      </c>
      <c r="F16">
        <v>6</v>
      </c>
      <c r="G16">
        <v>7</v>
      </c>
      <c r="H16">
        <v>8</v>
      </c>
      <c r="I16">
        <v>9</v>
      </c>
      <c r="J16">
        <v>10</v>
      </c>
      <c r="K16">
        <v>11</v>
      </c>
      <c r="L16">
        <v>12</v>
      </c>
      <c r="M16">
        <v>13</v>
      </c>
      <c r="N16">
        <v>14</v>
      </c>
      <c r="O16">
        <v>15</v>
      </c>
      <c r="P16">
        <v>16</v>
      </c>
      <c r="Q16">
        <v>17</v>
      </c>
      <c r="R16">
        <v>18</v>
      </c>
      <c r="S16">
        <v>19</v>
      </c>
      <c r="T16">
        <v>20</v>
      </c>
      <c r="U16">
        <v>21</v>
      </c>
      <c r="V16">
        <v>22</v>
      </c>
      <c r="W16">
        <v>23</v>
      </c>
    </row>
    <row r="17" ht="15" collapsed="1"/>
  </sheetData>
  <sheetProtection/>
  <printOptions/>
  <pageMargins left="0.49" right="0.55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G1">
      <selection activeCell="Y9" sqref="Y9"/>
    </sheetView>
  </sheetViews>
  <sheetFormatPr defaultColWidth="9.140625" defaultRowHeight="15" outlineLevelCol="1"/>
  <cols>
    <col min="1" max="1" width="39.28125" style="0" customWidth="1"/>
    <col min="2" max="2" width="10.00390625" style="0" customWidth="1"/>
    <col min="3" max="3" width="9.8515625" style="0" hidden="1" customWidth="1" outlineLevel="1"/>
    <col min="4" max="4" width="11.00390625" style="0" hidden="1" customWidth="1" outlineLevel="1"/>
    <col min="5" max="5" width="13.00390625" style="0" hidden="1" customWidth="1" outlineLevel="1" collapsed="1"/>
    <col min="6" max="6" width="12.140625" style="1" customWidth="1" collapsed="1"/>
    <col min="7" max="7" width="8.7109375" style="4" customWidth="1"/>
    <col min="8" max="8" width="7.421875" style="4" customWidth="1"/>
    <col min="9" max="9" width="7.57421875" style="1" customWidth="1"/>
    <col min="10" max="10" width="8.421875" style="0" hidden="1" customWidth="1" outlineLevel="1"/>
    <col min="11" max="11" width="8.7109375" style="0" customWidth="1" collapsed="1"/>
    <col min="12" max="12" width="8.421875" style="0" customWidth="1"/>
    <col min="13" max="13" width="7.28125" style="0" customWidth="1"/>
    <col min="14" max="14" width="12.421875" style="0" customWidth="1"/>
    <col min="15" max="15" width="13.57421875" style="0" customWidth="1"/>
    <col min="16" max="16" width="11.8515625" style="0" customWidth="1"/>
    <col min="17" max="17" width="12.28125" style="0" customWidth="1"/>
    <col min="18" max="18" width="8.8515625" style="0" customWidth="1"/>
    <col min="19" max="19" width="12.7109375" style="0" customWidth="1"/>
    <col min="20" max="20" width="10.140625" style="0" customWidth="1"/>
    <col min="21" max="21" width="9.7109375" style="0" customWidth="1"/>
    <col min="22" max="22" width="12.28125" style="0" customWidth="1"/>
    <col min="23" max="23" width="14.8515625" style="0" customWidth="1"/>
    <col min="24" max="28" width="12.28125" style="0" customWidth="1"/>
  </cols>
  <sheetData>
    <row r="1" ht="19.5" thickBot="1">
      <c r="AB1" s="121" t="s">
        <v>112</v>
      </c>
    </row>
    <row r="2" spans="1:28" ht="19.5" thickBot="1">
      <c r="A2" s="110" t="s">
        <v>109</v>
      </c>
      <c r="P2" s="40" t="s">
        <v>89</v>
      </c>
      <c r="Q2" s="126">
        <f>1-Q44/F44</f>
        <v>0.2896120000000001</v>
      </c>
      <c r="V2" s="7"/>
      <c r="W2" s="7"/>
      <c r="X2" s="7"/>
      <c r="Y2" s="7" t="s">
        <v>95</v>
      </c>
      <c r="Z2" s="7"/>
      <c r="AA2" s="7"/>
      <c r="AB2" s="70">
        <v>0.5</v>
      </c>
    </row>
    <row r="3" spans="1:28" ht="15.75" thickBot="1">
      <c r="A3" s="5"/>
      <c r="B3" s="40" t="s">
        <v>90</v>
      </c>
      <c r="F3" s="71">
        <v>700</v>
      </c>
      <c r="O3" s="40" t="s">
        <v>88</v>
      </c>
      <c r="P3" s="78">
        <v>0.4</v>
      </c>
      <c r="Q3" s="7"/>
      <c r="V3" s="7"/>
      <c r="W3" s="7"/>
      <c r="X3" s="7"/>
      <c r="Y3" s="7" t="s">
        <v>96</v>
      </c>
      <c r="Z3" s="7"/>
      <c r="AA3" s="7"/>
      <c r="AB3" s="70">
        <v>0.05</v>
      </c>
    </row>
    <row r="4" spans="1:28" ht="102.75" thickBo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3" t="s">
        <v>43</v>
      </c>
      <c r="G4" s="24" t="s">
        <v>44</v>
      </c>
      <c r="H4" s="24" t="s">
        <v>45</v>
      </c>
      <c r="I4" s="23" t="s">
        <v>91</v>
      </c>
      <c r="J4" s="23" t="s">
        <v>69</v>
      </c>
      <c r="K4" s="23" t="s">
        <v>70</v>
      </c>
      <c r="L4" s="23" t="s">
        <v>71</v>
      </c>
      <c r="M4" s="23" t="s">
        <v>74</v>
      </c>
      <c r="N4" s="23" t="s">
        <v>106</v>
      </c>
      <c r="O4" s="23" t="s">
        <v>105</v>
      </c>
      <c r="P4" s="23" t="s">
        <v>72</v>
      </c>
      <c r="Q4" s="25" t="s">
        <v>73</v>
      </c>
      <c r="R4" s="33" t="s">
        <v>92</v>
      </c>
      <c r="S4" s="33" t="s">
        <v>107</v>
      </c>
      <c r="T4" s="33" t="s">
        <v>79</v>
      </c>
      <c r="U4" s="33" t="s">
        <v>93</v>
      </c>
      <c r="V4" s="25" t="s">
        <v>108</v>
      </c>
      <c r="W4" s="25" t="s">
        <v>75</v>
      </c>
      <c r="X4" s="25" t="s">
        <v>94</v>
      </c>
      <c r="Y4" s="25" t="s">
        <v>76</v>
      </c>
      <c r="Z4" s="25" t="s">
        <v>77</v>
      </c>
      <c r="AA4" s="25" t="s">
        <v>78</v>
      </c>
      <c r="AB4" s="25" t="s">
        <v>80</v>
      </c>
    </row>
    <row r="5" spans="1:28" ht="15.75" thickBot="1">
      <c r="A5" s="21">
        <v>1</v>
      </c>
      <c r="B5" s="22">
        <v>2</v>
      </c>
      <c r="C5" s="21">
        <v>3</v>
      </c>
      <c r="D5" s="22">
        <v>4</v>
      </c>
      <c r="E5" s="21">
        <v>5</v>
      </c>
      <c r="F5" s="22">
        <v>3</v>
      </c>
      <c r="G5" s="21">
        <v>4</v>
      </c>
      <c r="H5" s="22">
        <v>5</v>
      </c>
      <c r="I5" s="21">
        <v>6</v>
      </c>
      <c r="J5" s="22">
        <v>10</v>
      </c>
      <c r="K5" s="21">
        <v>7</v>
      </c>
      <c r="L5" s="22">
        <v>8</v>
      </c>
      <c r="M5" s="21">
        <v>9</v>
      </c>
      <c r="N5" s="22">
        <v>10</v>
      </c>
      <c r="O5" s="21">
        <v>11</v>
      </c>
      <c r="P5" s="22">
        <v>12</v>
      </c>
      <c r="Q5" s="21">
        <v>13</v>
      </c>
      <c r="R5" s="22">
        <v>14</v>
      </c>
      <c r="S5" s="21">
        <v>15</v>
      </c>
      <c r="T5" s="22">
        <v>16</v>
      </c>
      <c r="U5" s="21">
        <v>17</v>
      </c>
      <c r="V5" s="22">
        <v>18</v>
      </c>
      <c r="W5" s="21">
        <v>19</v>
      </c>
      <c r="X5" s="22">
        <v>20</v>
      </c>
      <c r="Y5" s="21">
        <v>21</v>
      </c>
      <c r="Z5" s="22">
        <v>22</v>
      </c>
      <c r="AA5" s="21">
        <v>23</v>
      </c>
      <c r="AB5" s="22">
        <v>24</v>
      </c>
    </row>
    <row r="6" spans="1:28" ht="15">
      <c r="A6" s="88" t="s">
        <v>5</v>
      </c>
      <c r="B6" s="89">
        <v>33.19</v>
      </c>
      <c r="C6" s="89">
        <v>14.52</v>
      </c>
      <c r="D6" s="89">
        <v>419</v>
      </c>
      <c r="E6" s="90">
        <v>34</v>
      </c>
      <c r="F6" s="91">
        <f aca="true" t="shared" si="0" ref="F6:F43">B6/100*$F$3</f>
        <v>232.32999999999998</v>
      </c>
      <c r="G6" s="92">
        <v>25</v>
      </c>
      <c r="H6" s="92">
        <v>3</v>
      </c>
      <c r="I6" s="91">
        <f>G6/H6</f>
        <v>8.333333333333334</v>
      </c>
      <c r="J6" s="86">
        <v>1</v>
      </c>
      <c r="K6" s="93">
        <v>0.3</v>
      </c>
      <c r="L6" s="93"/>
      <c r="M6" s="93"/>
      <c r="N6" s="94">
        <f>1-SUM(K6:M6)</f>
        <v>0.7</v>
      </c>
      <c r="O6" s="91">
        <f>N6*F6</f>
        <v>162.63099999999997</v>
      </c>
      <c r="P6" s="91">
        <f aca="true" t="shared" si="1" ref="P6:P43">O6*$P$3</f>
        <v>65.05239999999999</v>
      </c>
      <c r="Q6" s="95">
        <f>F6-P6</f>
        <v>167.2776</v>
      </c>
      <c r="R6" s="94">
        <f>VLOOKUP(J6,'Тек сделки'!$A$3:$W$10,8)</f>
        <v>1.7650000000000001</v>
      </c>
      <c r="S6" s="94">
        <f>VLOOKUP(J6,'Тек сделки'!$A$3:$W$10,7)</f>
        <v>0.17</v>
      </c>
      <c r="T6" s="96">
        <f>VLOOKUP(J6,'Тек сделки'!$A$3:$W$10,23)</f>
        <v>0.1120677966101695</v>
      </c>
      <c r="U6" s="96">
        <f>VLOOKUP(J6,'Тек сделки'!$A$3:$W$10,21)</f>
        <v>0.01</v>
      </c>
      <c r="V6" s="95">
        <f>P6/R6</f>
        <v>36.85688385269121</v>
      </c>
      <c r="W6" s="95">
        <f>V6/118*18</f>
        <v>5.622236519902049</v>
      </c>
      <c r="X6" s="95">
        <f aca="true" t="shared" si="2" ref="X6:X43">V6*S6*0.18</f>
        <v>1.1278206458923512</v>
      </c>
      <c r="Y6" s="95">
        <f>V6/1.18*0.022</f>
        <v>0.6871622413213616</v>
      </c>
      <c r="Z6" s="95">
        <f>T6*V6</f>
        <v>4.130469763288039</v>
      </c>
      <c r="AA6" s="95">
        <f>V6*U6</f>
        <v>0.36856883852691213</v>
      </c>
      <c r="AB6" s="95">
        <f>Z6*$AB$3+AA6*$AB$2</f>
        <v>0.390807907427858</v>
      </c>
    </row>
    <row r="7" spans="1:28" ht="24">
      <c r="A7" s="15" t="s">
        <v>6</v>
      </c>
      <c r="B7" s="77">
        <v>15</v>
      </c>
      <c r="C7" s="8">
        <v>22.66</v>
      </c>
      <c r="D7" s="8">
        <v>50.3</v>
      </c>
      <c r="E7" s="8">
        <v>20.4</v>
      </c>
      <c r="F7" s="17">
        <f t="shared" si="0"/>
        <v>105</v>
      </c>
      <c r="G7" s="10">
        <v>18</v>
      </c>
      <c r="H7" s="10">
        <v>3</v>
      </c>
      <c r="I7" s="9">
        <f aca="true" t="shared" si="3" ref="I7:I43">G7/H7</f>
        <v>6</v>
      </c>
      <c r="J7" s="11">
        <v>2</v>
      </c>
      <c r="K7" s="12"/>
      <c r="L7" s="12">
        <v>0.5</v>
      </c>
      <c r="M7" s="12"/>
      <c r="N7" s="13">
        <f aca="true" t="shared" si="4" ref="N7:N42">1-SUM(K7:M7)</f>
        <v>0.5</v>
      </c>
      <c r="O7" s="9">
        <f aca="true" t="shared" si="5" ref="O7:O43">N7*F7</f>
        <v>52.5</v>
      </c>
      <c r="P7" s="9">
        <f t="shared" si="1"/>
        <v>21</v>
      </c>
      <c r="Q7" s="16">
        <f aca="true" t="shared" si="6" ref="Q7:Q43">F7-P7</f>
        <v>84</v>
      </c>
      <c r="R7" s="19">
        <f>VLOOKUP(J7,'Тек сделки'!$A$3:$W$10,8)</f>
        <v>1.555</v>
      </c>
      <c r="S7" s="19">
        <f>VLOOKUP(J7,'Тек сделки'!$A$3:$W$10,7)</f>
        <v>0.185</v>
      </c>
      <c r="T7" s="74">
        <f>VLOOKUP(J7,'Тек сделки'!$A$3:$W$10,23)</f>
        <v>0.11977966101694917</v>
      </c>
      <c r="U7" s="74">
        <f>VLOOKUP(J7,'Тек сделки'!$A$3:$W$10,21)</f>
        <v>0.015</v>
      </c>
      <c r="V7" s="20">
        <f aca="true" t="shared" si="7" ref="V7:V43">P7/R7</f>
        <v>13.504823151125402</v>
      </c>
      <c r="W7" s="20">
        <f aca="true" t="shared" si="8" ref="W7:W43">V7/118*18</f>
        <v>2.0600577688157395</v>
      </c>
      <c r="X7" s="20">
        <f t="shared" si="2"/>
        <v>0.4497106109324759</v>
      </c>
      <c r="Y7" s="20">
        <f aca="true" t="shared" si="9" ref="Y7:Y43">V7/1.18*0.022</f>
        <v>0.25178483841081256</v>
      </c>
      <c r="Z7" s="20">
        <f aca="true" t="shared" si="10" ref="Z7:Z43">T7*V7</f>
        <v>1.617603139135648</v>
      </c>
      <c r="AA7" s="20">
        <f aca="true" t="shared" si="11" ref="AA7:AA43">V7*U7</f>
        <v>0.20257234726688103</v>
      </c>
      <c r="AB7" s="20">
        <f aca="true" t="shared" si="12" ref="AB7:AB43">Z7*$AB$3+AA7*$AB$2</f>
        <v>0.1821663305902229</v>
      </c>
    </row>
    <row r="8" spans="1:28" ht="15">
      <c r="A8" s="15" t="s">
        <v>7</v>
      </c>
      <c r="B8" s="8">
        <v>9.89</v>
      </c>
      <c r="C8" s="8">
        <v>8.01</v>
      </c>
      <c r="D8" s="8">
        <v>180.4</v>
      </c>
      <c r="E8" s="8">
        <v>6.3</v>
      </c>
      <c r="F8" s="17">
        <f t="shared" si="0"/>
        <v>69.23</v>
      </c>
      <c r="G8" s="10">
        <v>6</v>
      </c>
      <c r="H8" s="10">
        <v>3</v>
      </c>
      <c r="I8" s="9">
        <f t="shared" si="3"/>
        <v>2</v>
      </c>
      <c r="J8" s="11">
        <v>4</v>
      </c>
      <c r="K8" s="12"/>
      <c r="L8" s="12"/>
      <c r="M8" s="12"/>
      <c r="N8" s="13">
        <f t="shared" si="4"/>
        <v>1</v>
      </c>
      <c r="O8" s="9">
        <f t="shared" si="5"/>
        <v>69.23</v>
      </c>
      <c r="P8" s="9">
        <f t="shared" si="1"/>
        <v>27.692000000000004</v>
      </c>
      <c r="Q8" s="16">
        <f t="shared" si="6"/>
        <v>41.538</v>
      </c>
      <c r="R8" s="19">
        <f>VLOOKUP(J8,'Тек сделки'!$A$3:$W$10,8)</f>
        <v>1.3</v>
      </c>
      <c r="S8" s="19">
        <f>VLOOKUP(J8,'Тек сделки'!$A$3:$W$10,7)</f>
        <v>0.24</v>
      </c>
      <c r="T8" s="74">
        <f>VLOOKUP(J8,'Тек сделки'!$A$3:$W$10,23)</f>
        <v>0.1463898305084746</v>
      </c>
      <c r="U8" s="74">
        <f>VLOOKUP(J8,'Тек сделки'!$A$3:$W$10,21)</f>
        <v>0.035</v>
      </c>
      <c r="V8" s="20">
        <f t="shared" si="7"/>
        <v>21.301538461538463</v>
      </c>
      <c r="W8" s="20">
        <f t="shared" si="8"/>
        <v>3.2493872229465453</v>
      </c>
      <c r="X8" s="20">
        <f t="shared" si="2"/>
        <v>0.9202264615384617</v>
      </c>
      <c r="Y8" s="20">
        <f t="shared" si="9"/>
        <v>0.3971473272490222</v>
      </c>
      <c r="Z8" s="20">
        <f t="shared" si="10"/>
        <v>3.1183286049543684</v>
      </c>
      <c r="AA8" s="20">
        <f t="shared" si="11"/>
        <v>0.7455538461538462</v>
      </c>
      <c r="AB8" s="20">
        <f t="shared" si="12"/>
        <v>0.5286933533246415</v>
      </c>
    </row>
    <row r="9" spans="1:28" ht="15">
      <c r="A9" s="15" t="s">
        <v>8</v>
      </c>
      <c r="B9" s="8">
        <v>9.44</v>
      </c>
      <c r="C9" s="8">
        <v>11.12</v>
      </c>
      <c r="D9" s="8">
        <v>92.7</v>
      </c>
      <c r="E9" s="8">
        <v>5.4</v>
      </c>
      <c r="F9" s="17">
        <f t="shared" si="0"/>
        <v>66.08</v>
      </c>
      <c r="G9" s="10">
        <v>3</v>
      </c>
      <c r="H9" s="10">
        <v>1</v>
      </c>
      <c r="I9" s="9">
        <f t="shared" si="3"/>
        <v>3</v>
      </c>
      <c r="J9" s="11">
        <v>3</v>
      </c>
      <c r="K9" s="12"/>
      <c r="L9" s="12"/>
      <c r="M9" s="12">
        <v>1</v>
      </c>
      <c r="N9" s="13">
        <f t="shared" si="4"/>
        <v>0</v>
      </c>
      <c r="O9" s="9">
        <f t="shared" si="5"/>
        <v>0</v>
      </c>
      <c r="P9" s="9">
        <f t="shared" si="1"/>
        <v>0</v>
      </c>
      <c r="Q9" s="16">
        <f t="shared" si="6"/>
        <v>66.08</v>
      </c>
      <c r="R9" s="19">
        <f>VLOOKUP(J9,'Тек сделки'!$A$3:$W$10,8)</f>
        <v>1.42</v>
      </c>
      <c r="S9" s="19">
        <f>VLOOKUP(J9,'Тек сделки'!$A$3:$W$10,7)</f>
        <v>0.21</v>
      </c>
      <c r="T9" s="74">
        <f>VLOOKUP(J9,'Тек сделки'!$A$3:$W$10,23)</f>
        <v>0.13096610169491527</v>
      </c>
      <c r="U9" s="74">
        <f>VLOOKUP(J9,'Тек сделки'!$A$3:$W$10,21)</f>
        <v>0.025</v>
      </c>
      <c r="V9" s="20">
        <f t="shared" si="7"/>
        <v>0</v>
      </c>
      <c r="W9" s="20">
        <f t="shared" si="8"/>
        <v>0</v>
      </c>
      <c r="X9" s="20">
        <f t="shared" si="2"/>
        <v>0</v>
      </c>
      <c r="Y9" s="20">
        <f t="shared" si="9"/>
        <v>0</v>
      </c>
      <c r="Z9" s="20">
        <f t="shared" si="10"/>
        <v>0</v>
      </c>
      <c r="AA9" s="20">
        <f t="shared" si="11"/>
        <v>0</v>
      </c>
      <c r="AB9" s="20">
        <f t="shared" si="12"/>
        <v>0</v>
      </c>
    </row>
    <row r="10" spans="1:28" ht="24">
      <c r="A10" s="15" t="s">
        <v>9</v>
      </c>
      <c r="B10" s="8">
        <v>3.88</v>
      </c>
      <c r="C10" s="8">
        <v>4.29</v>
      </c>
      <c r="D10" s="8">
        <v>105.3</v>
      </c>
      <c r="E10" s="8">
        <v>3.5</v>
      </c>
      <c r="F10" s="17">
        <f t="shared" si="0"/>
        <v>27.16</v>
      </c>
      <c r="G10" s="10">
        <v>7</v>
      </c>
      <c r="H10" s="10">
        <v>3</v>
      </c>
      <c r="I10" s="9">
        <f t="shared" si="3"/>
        <v>2.3333333333333335</v>
      </c>
      <c r="J10" s="11">
        <v>4</v>
      </c>
      <c r="K10" s="12"/>
      <c r="L10" s="12"/>
      <c r="M10" s="12"/>
      <c r="N10" s="13">
        <f t="shared" si="4"/>
        <v>1</v>
      </c>
      <c r="O10" s="9">
        <f t="shared" si="5"/>
        <v>27.16</v>
      </c>
      <c r="P10" s="9">
        <f t="shared" si="1"/>
        <v>10.864</v>
      </c>
      <c r="Q10" s="16">
        <f t="shared" si="6"/>
        <v>16.296</v>
      </c>
      <c r="R10" s="19">
        <f>VLOOKUP(J10,'Тек сделки'!$A$3:$W$10,8)</f>
        <v>1.3</v>
      </c>
      <c r="S10" s="19">
        <f>VLOOKUP(J10,'Тек сделки'!$A$3:$W$10,7)</f>
        <v>0.24</v>
      </c>
      <c r="T10" s="74">
        <f>VLOOKUP(J10,'Тек сделки'!$A$3:$W$10,23)</f>
        <v>0.1463898305084746</v>
      </c>
      <c r="U10" s="74">
        <f>VLOOKUP(J10,'Тек сделки'!$A$3:$W$10,21)</f>
        <v>0.035</v>
      </c>
      <c r="V10" s="20">
        <f t="shared" si="7"/>
        <v>8.356923076923078</v>
      </c>
      <c r="W10" s="20">
        <f t="shared" si="8"/>
        <v>1.2747848761408085</v>
      </c>
      <c r="X10" s="20">
        <f t="shared" si="2"/>
        <v>0.3610190769230769</v>
      </c>
      <c r="Y10" s="20">
        <f t="shared" si="9"/>
        <v>0.1558070404172099</v>
      </c>
      <c r="Z10" s="20">
        <f t="shared" si="10"/>
        <v>1.2233685528031293</v>
      </c>
      <c r="AA10" s="20">
        <f t="shared" si="11"/>
        <v>0.2924923076923078</v>
      </c>
      <c r="AB10" s="20">
        <f t="shared" si="12"/>
        <v>0.20741458148631037</v>
      </c>
    </row>
    <row r="11" spans="1:28" ht="15">
      <c r="A11" s="15" t="s">
        <v>10</v>
      </c>
      <c r="B11" s="8">
        <v>3.31</v>
      </c>
      <c r="C11" s="8">
        <v>0.02</v>
      </c>
      <c r="D11" s="14">
        <v>37458.2</v>
      </c>
      <c r="E11" s="8">
        <v>2.5</v>
      </c>
      <c r="F11" s="17">
        <f t="shared" si="0"/>
        <v>23.169999999999998</v>
      </c>
      <c r="G11" s="10">
        <v>20</v>
      </c>
      <c r="H11" s="10">
        <v>3</v>
      </c>
      <c r="I11" s="9">
        <f t="shared" si="3"/>
        <v>6.666666666666667</v>
      </c>
      <c r="J11" s="11">
        <v>2</v>
      </c>
      <c r="K11" s="12"/>
      <c r="L11" s="12"/>
      <c r="M11" s="12"/>
      <c r="N11" s="13">
        <f t="shared" si="4"/>
        <v>1</v>
      </c>
      <c r="O11" s="9">
        <f t="shared" si="5"/>
        <v>23.169999999999998</v>
      </c>
      <c r="P11" s="9">
        <f t="shared" si="1"/>
        <v>9.267999999999999</v>
      </c>
      <c r="Q11" s="16">
        <f t="shared" si="6"/>
        <v>13.902</v>
      </c>
      <c r="R11" s="19">
        <f>VLOOKUP(J11,'Тек сделки'!$A$3:$W$10,8)</f>
        <v>1.555</v>
      </c>
      <c r="S11" s="19">
        <f>VLOOKUP(J11,'Тек сделки'!$A$3:$W$10,7)</f>
        <v>0.185</v>
      </c>
      <c r="T11" s="74">
        <f>VLOOKUP(J11,'Тек сделки'!$A$3:$W$10,23)</f>
        <v>0.11977966101694917</v>
      </c>
      <c r="U11" s="74">
        <f>VLOOKUP(J11,'Тек сделки'!$A$3:$W$10,21)</f>
        <v>0.015</v>
      </c>
      <c r="V11" s="20">
        <f t="shared" si="7"/>
        <v>5.960128617363344</v>
      </c>
      <c r="W11" s="20">
        <f t="shared" si="8"/>
        <v>0.9091721619706795</v>
      </c>
      <c r="X11" s="20">
        <f t="shared" si="2"/>
        <v>0.19847228295819933</v>
      </c>
      <c r="Y11" s="20">
        <f t="shared" si="9"/>
        <v>0.11112104201863861</v>
      </c>
      <c r="Z11" s="20">
        <f t="shared" si="10"/>
        <v>0.7139021854051992</v>
      </c>
      <c r="AA11" s="20">
        <f t="shared" si="11"/>
        <v>0.08940192926045015</v>
      </c>
      <c r="AB11" s="20">
        <f t="shared" si="12"/>
        <v>0.08039607390048503</v>
      </c>
    </row>
    <row r="12" spans="1:28" ht="15">
      <c r="A12" s="15" t="s">
        <v>11</v>
      </c>
      <c r="B12" s="8">
        <v>3.23</v>
      </c>
      <c r="C12" s="8">
        <v>1.27</v>
      </c>
      <c r="D12" s="8">
        <v>477.4</v>
      </c>
      <c r="E12" s="8">
        <v>2.2</v>
      </c>
      <c r="F12" s="17">
        <f t="shared" si="0"/>
        <v>22.610000000000003</v>
      </c>
      <c r="G12" s="10">
        <v>6</v>
      </c>
      <c r="H12" s="10">
        <v>3</v>
      </c>
      <c r="I12" s="9">
        <f t="shared" si="3"/>
        <v>2</v>
      </c>
      <c r="J12" s="11">
        <v>4</v>
      </c>
      <c r="K12" s="12"/>
      <c r="L12" s="12"/>
      <c r="M12" s="12"/>
      <c r="N12" s="13">
        <f t="shared" si="4"/>
        <v>1</v>
      </c>
      <c r="O12" s="9">
        <f t="shared" si="5"/>
        <v>22.610000000000003</v>
      </c>
      <c r="P12" s="9">
        <f t="shared" si="1"/>
        <v>9.044000000000002</v>
      </c>
      <c r="Q12" s="16">
        <f t="shared" si="6"/>
        <v>13.566</v>
      </c>
      <c r="R12" s="19">
        <f>VLOOKUP(J12,'Тек сделки'!$A$3:$W$10,8)</f>
        <v>1.3</v>
      </c>
      <c r="S12" s="19">
        <f>VLOOKUP(J12,'Тек сделки'!$A$3:$W$10,7)</f>
        <v>0.24</v>
      </c>
      <c r="T12" s="74">
        <f>VLOOKUP(J12,'Тек сделки'!$A$3:$W$10,23)</f>
        <v>0.1463898305084746</v>
      </c>
      <c r="U12" s="74">
        <f>VLOOKUP(J12,'Тек сделки'!$A$3:$W$10,21)</f>
        <v>0.035</v>
      </c>
      <c r="V12" s="20">
        <f t="shared" si="7"/>
        <v>6.956923076923078</v>
      </c>
      <c r="W12" s="20">
        <f t="shared" si="8"/>
        <v>1.0612255541069102</v>
      </c>
      <c r="X12" s="20">
        <f t="shared" si="2"/>
        <v>0.30053907692307696</v>
      </c>
      <c r="Y12" s="20">
        <f t="shared" si="9"/>
        <v>0.1297053455019557</v>
      </c>
      <c r="Z12" s="20">
        <f t="shared" si="10"/>
        <v>1.018422790091265</v>
      </c>
      <c r="AA12" s="20">
        <f t="shared" si="11"/>
        <v>0.24349230769230776</v>
      </c>
      <c r="AB12" s="20">
        <f t="shared" si="12"/>
        <v>0.17266729335071712</v>
      </c>
    </row>
    <row r="13" spans="1:28" ht="15">
      <c r="A13" s="15" t="s">
        <v>12</v>
      </c>
      <c r="B13" s="8">
        <v>2.44</v>
      </c>
      <c r="C13" s="8">
        <v>4.42</v>
      </c>
      <c r="D13" s="8">
        <v>25.4</v>
      </c>
      <c r="E13" s="8">
        <v>6.6</v>
      </c>
      <c r="F13" s="17">
        <f t="shared" si="0"/>
        <v>17.08</v>
      </c>
      <c r="G13" s="10">
        <v>15</v>
      </c>
      <c r="H13" s="10">
        <v>3</v>
      </c>
      <c r="I13" s="9">
        <f t="shared" si="3"/>
        <v>5</v>
      </c>
      <c r="J13" s="11">
        <v>3</v>
      </c>
      <c r="K13" s="12"/>
      <c r="L13" s="12"/>
      <c r="M13" s="12"/>
      <c r="N13" s="13">
        <f t="shared" si="4"/>
        <v>1</v>
      </c>
      <c r="O13" s="9">
        <f t="shared" si="5"/>
        <v>17.08</v>
      </c>
      <c r="P13" s="9">
        <f t="shared" si="1"/>
        <v>6.832</v>
      </c>
      <c r="Q13" s="16">
        <f t="shared" si="6"/>
        <v>10.247999999999998</v>
      </c>
      <c r="R13" s="19">
        <f>VLOOKUP(J13,'Тек сделки'!$A$3:$W$10,8)</f>
        <v>1.42</v>
      </c>
      <c r="S13" s="19">
        <f>VLOOKUP(J13,'Тек сделки'!$A$3:$W$10,7)</f>
        <v>0.21</v>
      </c>
      <c r="T13" s="74">
        <f>VLOOKUP(J13,'Тек сделки'!$A$3:$W$10,23)</f>
        <v>0.13096610169491527</v>
      </c>
      <c r="U13" s="74">
        <f>VLOOKUP(J13,'Тек сделки'!$A$3:$W$10,21)</f>
        <v>0.025</v>
      </c>
      <c r="V13" s="20">
        <f t="shared" si="7"/>
        <v>4.811267605633803</v>
      </c>
      <c r="W13" s="20">
        <f t="shared" si="8"/>
        <v>0.7339221771305801</v>
      </c>
      <c r="X13" s="20">
        <f t="shared" si="2"/>
        <v>0.18186591549295775</v>
      </c>
      <c r="Y13" s="20">
        <f t="shared" si="9"/>
        <v>0.08970159942707089</v>
      </c>
      <c r="Z13" s="20">
        <f t="shared" si="10"/>
        <v>0.6301129625208881</v>
      </c>
      <c r="AA13" s="20">
        <f t="shared" si="11"/>
        <v>0.12028169014084507</v>
      </c>
      <c r="AB13" s="20">
        <f t="shared" si="12"/>
        <v>0.09164649319646695</v>
      </c>
    </row>
    <row r="14" spans="1:28" ht="15">
      <c r="A14" s="15" t="s">
        <v>13</v>
      </c>
      <c r="B14" s="8">
        <v>2.08</v>
      </c>
      <c r="C14" s="8">
        <v>0.34</v>
      </c>
      <c r="D14" s="14">
        <v>1289.2</v>
      </c>
      <c r="E14" s="8">
        <v>2</v>
      </c>
      <c r="F14" s="17">
        <f t="shared" si="0"/>
        <v>14.559999999999999</v>
      </c>
      <c r="G14" s="10">
        <v>10</v>
      </c>
      <c r="H14" s="10">
        <v>3</v>
      </c>
      <c r="I14" s="9">
        <f t="shared" si="3"/>
        <v>3.3333333333333335</v>
      </c>
      <c r="J14" s="11">
        <v>3</v>
      </c>
      <c r="K14" s="12"/>
      <c r="L14" s="12"/>
      <c r="M14" s="12"/>
      <c r="N14" s="13">
        <f t="shared" si="4"/>
        <v>1</v>
      </c>
      <c r="O14" s="9">
        <f t="shared" si="5"/>
        <v>14.559999999999999</v>
      </c>
      <c r="P14" s="9">
        <f t="shared" si="1"/>
        <v>5.824</v>
      </c>
      <c r="Q14" s="16">
        <f t="shared" si="6"/>
        <v>8.735999999999999</v>
      </c>
      <c r="R14" s="19">
        <f>VLOOKUP(J14,'Тек сделки'!$A$3:$W$10,8)</f>
        <v>1.42</v>
      </c>
      <c r="S14" s="19">
        <f>VLOOKUP(J14,'Тек сделки'!$A$3:$W$10,7)</f>
        <v>0.21</v>
      </c>
      <c r="T14" s="74">
        <f>VLOOKUP(J14,'Тек сделки'!$A$3:$W$10,23)</f>
        <v>0.13096610169491527</v>
      </c>
      <c r="U14" s="74">
        <f>VLOOKUP(J14,'Тек сделки'!$A$3:$W$10,21)</f>
        <v>0.025</v>
      </c>
      <c r="V14" s="20">
        <f t="shared" si="7"/>
        <v>4.101408450704225</v>
      </c>
      <c r="W14" s="20">
        <f t="shared" si="8"/>
        <v>0.6256385772260683</v>
      </c>
      <c r="X14" s="20">
        <f t="shared" si="2"/>
        <v>0.1550332394366197</v>
      </c>
      <c r="Y14" s="20">
        <f t="shared" si="9"/>
        <v>0.07646693721651945</v>
      </c>
      <c r="Z14" s="20">
        <f t="shared" si="10"/>
        <v>0.5371454762473145</v>
      </c>
      <c r="AA14" s="20">
        <f t="shared" si="11"/>
        <v>0.10253521126760563</v>
      </c>
      <c r="AB14" s="20">
        <f t="shared" si="12"/>
        <v>0.07812487944616854</v>
      </c>
    </row>
    <row r="15" spans="1:28" ht="15">
      <c r="A15" s="15" t="s">
        <v>14</v>
      </c>
      <c r="B15" s="8">
        <v>1.66</v>
      </c>
      <c r="C15" s="8">
        <v>5.76</v>
      </c>
      <c r="D15" s="8">
        <v>-34.7</v>
      </c>
      <c r="E15" s="8">
        <v>2.4</v>
      </c>
      <c r="F15" s="17">
        <f t="shared" si="0"/>
        <v>11.620000000000001</v>
      </c>
      <c r="G15" s="10">
        <v>30</v>
      </c>
      <c r="H15" s="10">
        <v>3</v>
      </c>
      <c r="I15" s="9">
        <f t="shared" si="3"/>
        <v>10</v>
      </c>
      <c r="J15" s="11">
        <v>1</v>
      </c>
      <c r="K15" s="12"/>
      <c r="L15" s="12"/>
      <c r="M15" s="12"/>
      <c r="N15" s="13">
        <f t="shared" si="4"/>
        <v>1</v>
      </c>
      <c r="O15" s="9">
        <f t="shared" si="5"/>
        <v>11.620000000000001</v>
      </c>
      <c r="P15" s="9">
        <f t="shared" si="1"/>
        <v>4.648000000000001</v>
      </c>
      <c r="Q15" s="16">
        <f t="shared" si="6"/>
        <v>6.972</v>
      </c>
      <c r="R15" s="19">
        <f>VLOOKUP(J15,'Тек сделки'!$A$3:$W$10,8)</f>
        <v>1.7650000000000001</v>
      </c>
      <c r="S15" s="19">
        <f>VLOOKUP(J15,'Тек сделки'!$A$3:$W$10,7)</f>
        <v>0.17</v>
      </c>
      <c r="T15" s="74">
        <f>VLOOKUP(J15,'Тек сделки'!$A$3:$W$10,23)</f>
        <v>0.1120677966101695</v>
      </c>
      <c r="U15" s="74">
        <f>VLOOKUP(J15,'Тек сделки'!$A$3:$W$10,21)</f>
        <v>0.01</v>
      </c>
      <c r="V15" s="20">
        <f t="shared" si="7"/>
        <v>2.63342776203966</v>
      </c>
      <c r="W15" s="20">
        <f t="shared" si="8"/>
        <v>0.40170931963316847</v>
      </c>
      <c r="X15" s="20">
        <f t="shared" si="2"/>
        <v>0.0805828895184136</v>
      </c>
      <c r="Y15" s="20">
        <f t="shared" si="9"/>
        <v>0.04909780573294282</v>
      </c>
      <c r="Z15" s="20">
        <f t="shared" si="10"/>
        <v>0.29512244682383443</v>
      </c>
      <c r="AA15" s="20">
        <f t="shared" si="11"/>
        <v>0.026334277620396602</v>
      </c>
      <c r="AB15" s="20">
        <f t="shared" si="12"/>
        <v>0.027923261151390023</v>
      </c>
    </row>
    <row r="16" spans="1:28" ht="24">
      <c r="A16" s="15" t="s">
        <v>15</v>
      </c>
      <c r="B16" s="8">
        <v>1.52</v>
      </c>
      <c r="C16" s="8">
        <v>1.65</v>
      </c>
      <c r="D16" s="8">
        <v>109.8</v>
      </c>
      <c r="E16" s="8">
        <v>1.3</v>
      </c>
      <c r="F16" s="17">
        <f t="shared" si="0"/>
        <v>10.64</v>
      </c>
      <c r="G16" s="10">
        <v>10</v>
      </c>
      <c r="H16" s="10">
        <v>3</v>
      </c>
      <c r="I16" s="9">
        <f t="shared" si="3"/>
        <v>3.3333333333333335</v>
      </c>
      <c r="J16" s="11">
        <v>3</v>
      </c>
      <c r="K16" s="12"/>
      <c r="L16" s="12"/>
      <c r="M16" s="12"/>
      <c r="N16" s="13">
        <f t="shared" si="4"/>
        <v>1</v>
      </c>
      <c r="O16" s="9">
        <f t="shared" si="5"/>
        <v>10.64</v>
      </c>
      <c r="P16" s="9">
        <f t="shared" si="1"/>
        <v>4.256</v>
      </c>
      <c r="Q16" s="16">
        <f t="shared" si="6"/>
        <v>6.384</v>
      </c>
      <c r="R16" s="19">
        <f>VLOOKUP(J16,'Тек сделки'!$A$3:$W$10,8)</f>
        <v>1.42</v>
      </c>
      <c r="S16" s="19">
        <f>VLOOKUP(J16,'Тек сделки'!$A$3:$W$10,7)</f>
        <v>0.21</v>
      </c>
      <c r="T16" s="74">
        <f>VLOOKUP(J16,'Тек сделки'!$A$3:$W$10,23)</f>
        <v>0.13096610169491527</v>
      </c>
      <c r="U16" s="74">
        <f>VLOOKUP(J16,'Тек сделки'!$A$3:$W$10,21)</f>
        <v>0.025</v>
      </c>
      <c r="V16" s="20">
        <f t="shared" si="7"/>
        <v>2.9971830985915497</v>
      </c>
      <c r="W16" s="20">
        <f t="shared" si="8"/>
        <v>0.45719742181904993</v>
      </c>
      <c r="X16" s="20">
        <f t="shared" si="2"/>
        <v>0.11329352112676058</v>
      </c>
      <c r="Y16" s="20">
        <f t="shared" si="9"/>
        <v>0.055879684888994995</v>
      </c>
      <c r="Z16" s="20">
        <f t="shared" si="10"/>
        <v>0.39252938648842217</v>
      </c>
      <c r="AA16" s="20">
        <f t="shared" si="11"/>
        <v>0.07492957746478875</v>
      </c>
      <c r="AB16" s="20">
        <f t="shared" si="12"/>
        <v>0.05709125805681548</v>
      </c>
    </row>
    <row r="17" spans="1:28" ht="24">
      <c r="A17" s="15" t="s">
        <v>16</v>
      </c>
      <c r="B17" s="8">
        <v>1.49</v>
      </c>
      <c r="C17" s="8">
        <v>3.42</v>
      </c>
      <c r="D17" s="8">
        <v>-1.4</v>
      </c>
      <c r="E17" s="8">
        <v>2.5</v>
      </c>
      <c r="F17" s="17">
        <f t="shared" si="0"/>
        <v>10.43</v>
      </c>
      <c r="G17" s="10">
        <v>10</v>
      </c>
      <c r="H17" s="10">
        <v>3</v>
      </c>
      <c r="I17" s="9">
        <f t="shared" si="3"/>
        <v>3.3333333333333335</v>
      </c>
      <c r="J17" s="11">
        <v>3</v>
      </c>
      <c r="K17" s="12"/>
      <c r="L17" s="12"/>
      <c r="M17" s="12"/>
      <c r="N17" s="13">
        <f t="shared" si="4"/>
        <v>1</v>
      </c>
      <c r="O17" s="9">
        <f t="shared" si="5"/>
        <v>10.43</v>
      </c>
      <c r="P17" s="9">
        <f t="shared" si="1"/>
        <v>4.172</v>
      </c>
      <c r="Q17" s="16">
        <f t="shared" si="6"/>
        <v>6.258</v>
      </c>
      <c r="R17" s="19">
        <f>VLOOKUP(J17,'Тек сделки'!$A$3:$W$10,8)</f>
        <v>1.42</v>
      </c>
      <c r="S17" s="19">
        <f>VLOOKUP(J17,'Тек сделки'!$A$3:$W$10,7)</f>
        <v>0.21</v>
      </c>
      <c r="T17" s="74">
        <f>VLOOKUP(J17,'Тек сделки'!$A$3:$W$10,23)</f>
        <v>0.13096610169491527</v>
      </c>
      <c r="U17" s="74">
        <f>VLOOKUP(J17,'Тек сделки'!$A$3:$W$10,21)</f>
        <v>0.025</v>
      </c>
      <c r="V17" s="20">
        <f t="shared" si="7"/>
        <v>2.9380281690140846</v>
      </c>
      <c r="W17" s="20">
        <f t="shared" si="8"/>
        <v>0.44817378849367395</v>
      </c>
      <c r="X17" s="20">
        <f t="shared" si="2"/>
        <v>0.1110574647887324</v>
      </c>
      <c r="Y17" s="20">
        <f t="shared" si="9"/>
        <v>0.05477679637144904</v>
      </c>
      <c r="Z17" s="20">
        <f t="shared" si="10"/>
        <v>0.3847820959656243</v>
      </c>
      <c r="AA17" s="20">
        <f t="shared" si="11"/>
        <v>0.07345070422535212</v>
      </c>
      <c r="AB17" s="20">
        <f t="shared" si="12"/>
        <v>0.05596445691095728</v>
      </c>
    </row>
    <row r="18" spans="1:28" ht="24">
      <c r="A18" s="15" t="s">
        <v>17</v>
      </c>
      <c r="B18" s="8">
        <v>1.47</v>
      </c>
      <c r="C18" s="8">
        <v>0.3</v>
      </c>
      <c r="D18" s="14">
        <v>1010.7</v>
      </c>
      <c r="E18" s="8">
        <v>1.5</v>
      </c>
      <c r="F18" s="17">
        <f t="shared" si="0"/>
        <v>10.29</v>
      </c>
      <c r="G18" s="10">
        <v>10</v>
      </c>
      <c r="H18" s="10">
        <v>3</v>
      </c>
      <c r="I18" s="9">
        <f t="shared" si="3"/>
        <v>3.3333333333333335</v>
      </c>
      <c r="J18" s="11">
        <v>3</v>
      </c>
      <c r="K18" s="12"/>
      <c r="L18" s="12"/>
      <c r="M18" s="12"/>
      <c r="N18" s="13">
        <f t="shared" si="4"/>
        <v>1</v>
      </c>
      <c r="O18" s="9">
        <f t="shared" si="5"/>
        <v>10.29</v>
      </c>
      <c r="P18" s="9">
        <f t="shared" si="1"/>
        <v>4.116</v>
      </c>
      <c r="Q18" s="16">
        <f t="shared" si="6"/>
        <v>6.1739999999999995</v>
      </c>
      <c r="R18" s="19">
        <f>VLOOKUP(J18,'Тек сделки'!$A$3:$W$10,8)</f>
        <v>1.42</v>
      </c>
      <c r="S18" s="19">
        <f>VLOOKUP(J18,'Тек сделки'!$A$3:$W$10,7)</f>
        <v>0.21</v>
      </c>
      <c r="T18" s="74">
        <f>VLOOKUP(J18,'Тек сделки'!$A$3:$W$10,23)</f>
        <v>0.13096610169491527</v>
      </c>
      <c r="U18" s="74">
        <f>VLOOKUP(J18,'Тек сделки'!$A$3:$W$10,21)</f>
        <v>0.025</v>
      </c>
      <c r="V18" s="20">
        <f t="shared" si="7"/>
        <v>2.8985915492957743</v>
      </c>
      <c r="W18" s="20">
        <f t="shared" si="8"/>
        <v>0.4421580329434232</v>
      </c>
      <c r="X18" s="20">
        <f t="shared" si="2"/>
        <v>0.10956676056338026</v>
      </c>
      <c r="Y18" s="20">
        <f t="shared" si="9"/>
        <v>0.05404153735975172</v>
      </c>
      <c r="Z18" s="20">
        <f t="shared" si="10"/>
        <v>0.3796172356170924</v>
      </c>
      <c r="AA18" s="20">
        <f t="shared" si="11"/>
        <v>0.07246478873239436</v>
      </c>
      <c r="AB18" s="20">
        <f t="shared" si="12"/>
        <v>0.0552132561470518</v>
      </c>
    </row>
    <row r="19" spans="1:28" ht="15">
      <c r="A19" s="15" t="s">
        <v>18</v>
      </c>
      <c r="B19" s="8">
        <v>1.45</v>
      </c>
      <c r="C19" s="8">
        <v>1.87</v>
      </c>
      <c r="D19" s="8">
        <v>76.4</v>
      </c>
      <c r="E19" s="8">
        <v>1.7</v>
      </c>
      <c r="F19" s="17">
        <f t="shared" si="0"/>
        <v>10.149999999999999</v>
      </c>
      <c r="G19" s="10">
        <v>7</v>
      </c>
      <c r="H19" s="10">
        <v>3</v>
      </c>
      <c r="I19" s="9">
        <f t="shared" si="3"/>
        <v>2.3333333333333335</v>
      </c>
      <c r="J19" s="11">
        <v>4</v>
      </c>
      <c r="K19" s="12"/>
      <c r="L19" s="12"/>
      <c r="M19" s="12"/>
      <c r="N19" s="13">
        <f t="shared" si="4"/>
        <v>1</v>
      </c>
      <c r="O19" s="9">
        <f t="shared" si="5"/>
        <v>10.149999999999999</v>
      </c>
      <c r="P19" s="9">
        <f t="shared" si="1"/>
        <v>4.06</v>
      </c>
      <c r="Q19" s="16">
        <f t="shared" si="6"/>
        <v>6.089999999999999</v>
      </c>
      <c r="R19" s="19">
        <f>VLOOKUP(J19,'Тек сделки'!$A$3:$W$10,8)</f>
        <v>1.3</v>
      </c>
      <c r="S19" s="19">
        <f>VLOOKUP(J19,'Тек сделки'!$A$3:$W$10,7)</f>
        <v>0.24</v>
      </c>
      <c r="T19" s="74">
        <f>VLOOKUP(J19,'Тек сделки'!$A$3:$W$10,23)</f>
        <v>0.1463898305084746</v>
      </c>
      <c r="U19" s="74">
        <f>VLOOKUP(J19,'Тек сделки'!$A$3:$W$10,21)</f>
        <v>0.035</v>
      </c>
      <c r="V19" s="20">
        <f t="shared" si="7"/>
        <v>3.1230769230769226</v>
      </c>
      <c r="W19" s="20">
        <f t="shared" si="8"/>
        <v>0.4764015645371577</v>
      </c>
      <c r="X19" s="20">
        <f t="shared" si="2"/>
        <v>0.13491692307692305</v>
      </c>
      <c r="Y19" s="20">
        <f t="shared" si="9"/>
        <v>0.05822685788787483</v>
      </c>
      <c r="Z19" s="20">
        <f t="shared" si="10"/>
        <v>0.45718670143415907</v>
      </c>
      <c r="AA19" s="20">
        <f t="shared" si="11"/>
        <v>0.1093076923076923</v>
      </c>
      <c r="AB19" s="20">
        <f t="shared" si="12"/>
        <v>0.0775131812255541</v>
      </c>
    </row>
    <row r="20" spans="1:28" ht="15">
      <c r="A20" s="15" t="s">
        <v>19</v>
      </c>
      <c r="B20" s="8">
        <v>0.87</v>
      </c>
      <c r="C20" s="8">
        <v>0.9</v>
      </c>
      <c r="D20" s="8">
        <v>119.1</v>
      </c>
      <c r="E20" s="8">
        <v>0.6</v>
      </c>
      <c r="F20" s="17">
        <f t="shared" si="0"/>
        <v>6.09</v>
      </c>
      <c r="G20" s="10">
        <v>10</v>
      </c>
      <c r="H20" s="10">
        <v>3</v>
      </c>
      <c r="I20" s="9">
        <f t="shared" si="3"/>
        <v>3.3333333333333335</v>
      </c>
      <c r="J20" s="11">
        <v>3</v>
      </c>
      <c r="K20" s="12"/>
      <c r="L20" s="12"/>
      <c r="M20" s="12"/>
      <c r="N20" s="13">
        <f t="shared" si="4"/>
        <v>1</v>
      </c>
      <c r="O20" s="9">
        <f t="shared" si="5"/>
        <v>6.09</v>
      </c>
      <c r="P20" s="9">
        <f t="shared" si="1"/>
        <v>2.436</v>
      </c>
      <c r="Q20" s="16">
        <f t="shared" si="6"/>
        <v>3.654</v>
      </c>
      <c r="R20" s="19">
        <f>VLOOKUP(J20,'Тек сделки'!$A$3:$W$10,8)</f>
        <v>1.42</v>
      </c>
      <c r="S20" s="19">
        <f>VLOOKUP(J20,'Тек сделки'!$A$3:$W$10,7)</f>
        <v>0.21</v>
      </c>
      <c r="T20" s="74">
        <f>VLOOKUP(J20,'Тек сделки'!$A$3:$W$10,23)</f>
        <v>0.13096610169491527</v>
      </c>
      <c r="U20" s="74">
        <f>VLOOKUP(J20,'Тек сделки'!$A$3:$W$10,21)</f>
        <v>0.025</v>
      </c>
      <c r="V20" s="20">
        <f t="shared" si="7"/>
        <v>1.7154929577464788</v>
      </c>
      <c r="W20" s="20">
        <f t="shared" si="8"/>
        <v>0.26168536643590357</v>
      </c>
      <c r="X20" s="20">
        <f t="shared" si="2"/>
        <v>0.0648456338028169</v>
      </c>
      <c r="Y20" s="20">
        <f t="shared" si="9"/>
        <v>0.03198376700883265</v>
      </c>
      <c r="Z20" s="20">
        <f t="shared" si="10"/>
        <v>0.2246714251611363</v>
      </c>
      <c r="AA20" s="20">
        <f t="shared" si="11"/>
        <v>0.04288732394366197</v>
      </c>
      <c r="AB20" s="20">
        <f t="shared" si="12"/>
        <v>0.0326772332298878</v>
      </c>
    </row>
    <row r="21" spans="1:28" ht="15">
      <c r="A21" s="15" t="s">
        <v>20</v>
      </c>
      <c r="B21" s="8">
        <v>0.84</v>
      </c>
      <c r="C21" s="8">
        <v>1.21</v>
      </c>
      <c r="D21" s="8">
        <v>58.3</v>
      </c>
      <c r="E21" s="8">
        <v>1.4</v>
      </c>
      <c r="F21" s="17">
        <f t="shared" si="0"/>
        <v>5.88</v>
      </c>
      <c r="G21" s="10">
        <v>10</v>
      </c>
      <c r="H21" s="10">
        <v>3</v>
      </c>
      <c r="I21" s="9">
        <f t="shared" si="3"/>
        <v>3.3333333333333335</v>
      </c>
      <c r="J21" s="11">
        <v>3</v>
      </c>
      <c r="K21" s="12"/>
      <c r="L21" s="12"/>
      <c r="M21" s="12"/>
      <c r="N21" s="13">
        <f t="shared" si="4"/>
        <v>1</v>
      </c>
      <c r="O21" s="9">
        <f t="shared" si="5"/>
        <v>5.88</v>
      </c>
      <c r="P21" s="9">
        <f t="shared" si="1"/>
        <v>2.352</v>
      </c>
      <c r="Q21" s="16">
        <f t="shared" si="6"/>
        <v>3.528</v>
      </c>
      <c r="R21" s="19">
        <f>VLOOKUP(J21,'Тек сделки'!$A$3:$W$10,8)</f>
        <v>1.42</v>
      </c>
      <c r="S21" s="19">
        <f>VLOOKUP(J21,'Тек сделки'!$A$3:$W$10,7)</f>
        <v>0.21</v>
      </c>
      <c r="T21" s="74">
        <f>VLOOKUP(J21,'Тек сделки'!$A$3:$W$10,23)</f>
        <v>0.13096610169491527</v>
      </c>
      <c r="U21" s="74">
        <f>VLOOKUP(J21,'Тек сделки'!$A$3:$W$10,21)</f>
        <v>0.025</v>
      </c>
      <c r="V21" s="20">
        <f t="shared" si="7"/>
        <v>1.656338028169014</v>
      </c>
      <c r="W21" s="20">
        <f t="shared" si="8"/>
        <v>0.2526617331105276</v>
      </c>
      <c r="X21" s="20">
        <f t="shared" si="2"/>
        <v>0.06260957746478872</v>
      </c>
      <c r="Y21" s="20">
        <f t="shared" si="9"/>
        <v>0.030880878491286706</v>
      </c>
      <c r="Z21" s="20">
        <f t="shared" si="10"/>
        <v>0.21692413463833854</v>
      </c>
      <c r="AA21" s="20">
        <f t="shared" si="11"/>
        <v>0.04140845070422536</v>
      </c>
      <c r="AB21" s="20">
        <f t="shared" si="12"/>
        <v>0.031550432084029606</v>
      </c>
    </row>
    <row r="22" spans="1:28" ht="24">
      <c r="A22" s="15" t="s">
        <v>21</v>
      </c>
      <c r="B22" s="8">
        <v>0.78</v>
      </c>
      <c r="C22" s="8">
        <v>1.33</v>
      </c>
      <c r="D22" s="8">
        <v>33.8</v>
      </c>
      <c r="E22" s="8">
        <v>0.7</v>
      </c>
      <c r="F22" s="17">
        <f t="shared" si="0"/>
        <v>5.46</v>
      </c>
      <c r="G22" s="10">
        <v>10</v>
      </c>
      <c r="H22" s="10">
        <v>3</v>
      </c>
      <c r="I22" s="9">
        <f t="shared" si="3"/>
        <v>3.3333333333333335</v>
      </c>
      <c r="J22" s="11">
        <v>3</v>
      </c>
      <c r="K22" s="12"/>
      <c r="L22" s="12"/>
      <c r="M22" s="12"/>
      <c r="N22" s="13">
        <f t="shared" si="4"/>
        <v>1</v>
      </c>
      <c r="O22" s="9">
        <f t="shared" si="5"/>
        <v>5.46</v>
      </c>
      <c r="P22" s="9">
        <f t="shared" si="1"/>
        <v>2.184</v>
      </c>
      <c r="Q22" s="16">
        <f t="shared" si="6"/>
        <v>3.276</v>
      </c>
      <c r="R22" s="19">
        <f>VLOOKUP(J22,'Тек сделки'!$A$3:$W$10,8)</f>
        <v>1.42</v>
      </c>
      <c r="S22" s="19">
        <f>VLOOKUP(J22,'Тек сделки'!$A$3:$W$10,7)</f>
        <v>0.21</v>
      </c>
      <c r="T22" s="74">
        <f>VLOOKUP(J22,'Тек сделки'!$A$3:$W$10,23)</f>
        <v>0.13096610169491527</v>
      </c>
      <c r="U22" s="74">
        <f>VLOOKUP(J22,'Тек сделки'!$A$3:$W$10,21)</f>
        <v>0.025</v>
      </c>
      <c r="V22" s="20">
        <f t="shared" si="7"/>
        <v>1.5380281690140847</v>
      </c>
      <c r="W22" s="20">
        <f t="shared" si="8"/>
        <v>0.23461446645977563</v>
      </c>
      <c r="X22" s="20">
        <f t="shared" si="2"/>
        <v>0.0581374647887324</v>
      </c>
      <c r="Y22" s="20">
        <f t="shared" si="9"/>
        <v>0.0286751014561948</v>
      </c>
      <c r="Z22" s="20">
        <f t="shared" si="10"/>
        <v>0.20142955359274295</v>
      </c>
      <c r="AA22" s="20">
        <f t="shared" si="11"/>
        <v>0.03845070422535212</v>
      </c>
      <c r="AB22" s="20">
        <f t="shared" si="12"/>
        <v>0.029296829792313208</v>
      </c>
    </row>
    <row r="23" spans="1:28" ht="15">
      <c r="A23" s="15" t="s">
        <v>22</v>
      </c>
      <c r="B23" s="8">
        <v>0.66</v>
      </c>
      <c r="C23" s="8">
        <v>1.35</v>
      </c>
      <c r="D23" s="8">
        <v>11.6</v>
      </c>
      <c r="E23" s="8">
        <v>0.6</v>
      </c>
      <c r="F23" s="17">
        <f t="shared" si="0"/>
        <v>4.62</v>
      </c>
      <c r="G23" s="10">
        <v>10</v>
      </c>
      <c r="H23" s="10">
        <v>3</v>
      </c>
      <c r="I23" s="9">
        <f t="shared" si="3"/>
        <v>3.3333333333333335</v>
      </c>
      <c r="J23" s="11">
        <v>3</v>
      </c>
      <c r="K23" s="12"/>
      <c r="L23" s="12"/>
      <c r="M23" s="12"/>
      <c r="N23" s="13">
        <f t="shared" si="4"/>
        <v>1</v>
      </c>
      <c r="O23" s="9">
        <f t="shared" si="5"/>
        <v>4.62</v>
      </c>
      <c r="P23" s="9">
        <f t="shared" si="1"/>
        <v>1.848</v>
      </c>
      <c r="Q23" s="16">
        <f t="shared" si="6"/>
        <v>2.7720000000000002</v>
      </c>
      <c r="R23" s="19">
        <f>VLOOKUP(J23,'Тек сделки'!$A$3:$W$10,8)</f>
        <v>1.42</v>
      </c>
      <c r="S23" s="19">
        <f>VLOOKUP(J23,'Тек сделки'!$A$3:$W$10,7)</f>
        <v>0.21</v>
      </c>
      <c r="T23" s="74">
        <f>VLOOKUP(J23,'Тек сделки'!$A$3:$W$10,23)</f>
        <v>0.13096610169491527</v>
      </c>
      <c r="U23" s="74">
        <f>VLOOKUP(J23,'Тек сделки'!$A$3:$W$10,21)</f>
        <v>0.025</v>
      </c>
      <c r="V23" s="20">
        <f t="shared" si="7"/>
        <v>1.3014084507042254</v>
      </c>
      <c r="W23" s="20">
        <f t="shared" si="8"/>
        <v>0.19851993315827168</v>
      </c>
      <c r="X23" s="20">
        <f t="shared" si="2"/>
        <v>0.04919323943661972</v>
      </c>
      <c r="Y23" s="20">
        <f t="shared" si="9"/>
        <v>0.02426354738601098</v>
      </c>
      <c r="Z23" s="20">
        <f t="shared" si="10"/>
        <v>0.1704403915015517</v>
      </c>
      <c r="AA23" s="20">
        <f t="shared" si="11"/>
        <v>0.032535211267605633</v>
      </c>
      <c r="AB23" s="20">
        <f t="shared" si="12"/>
        <v>0.0247896252088804</v>
      </c>
    </row>
    <row r="24" spans="1:28" ht="15">
      <c r="A24" s="15" t="s">
        <v>23</v>
      </c>
      <c r="B24" s="8">
        <v>0.6</v>
      </c>
      <c r="C24" s="8">
        <v>0.12</v>
      </c>
      <c r="D24" s="14">
        <v>1031.8</v>
      </c>
      <c r="E24" s="8">
        <v>0.4</v>
      </c>
      <c r="F24" s="17">
        <f t="shared" si="0"/>
        <v>4.2</v>
      </c>
      <c r="G24" s="10">
        <v>3</v>
      </c>
      <c r="H24" s="10">
        <v>1</v>
      </c>
      <c r="I24" s="9">
        <f t="shared" si="3"/>
        <v>3</v>
      </c>
      <c r="J24" s="11">
        <v>3</v>
      </c>
      <c r="K24" s="12"/>
      <c r="L24" s="12"/>
      <c r="M24" s="12">
        <v>1</v>
      </c>
      <c r="N24" s="13">
        <f t="shared" si="4"/>
        <v>0</v>
      </c>
      <c r="O24" s="9">
        <f t="shared" si="5"/>
        <v>0</v>
      </c>
      <c r="P24" s="9">
        <f t="shared" si="1"/>
        <v>0</v>
      </c>
      <c r="Q24" s="16">
        <f t="shared" si="6"/>
        <v>4.2</v>
      </c>
      <c r="R24" s="19">
        <f>VLOOKUP(J24,'Тек сделки'!$A$3:$W$10,8)</f>
        <v>1.42</v>
      </c>
      <c r="S24" s="19">
        <f>VLOOKUP(J24,'Тек сделки'!$A$3:$W$10,7)</f>
        <v>0.21</v>
      </c>
      <c r="T24" s="74">
        <f>VLOOKUP(J24,'Тек сделки'!$A$3:$W$10,23)</f>
        <v>0.13096610169491527</v>
      </c>
      <c r="U24" s="74">
        <f>VLOOKUP(J24,'Тек сделки'!$A$3:$W$10,21)</f>
        <v>0.025</v>
      </c>
      <c r="V24" s="20">
        <f t="shared" si="7"/>
        <v>0</v>
      </c>
      <c r="W24" s="20">
        <f t="shared" si="8"/>
        <v>0</v>
      </c>
      <c r="X24" s="20">
        <f t="shared" si="2"/>
        <v>0</v>
      </c>
      <c r="Y24" s="20">
        <f t="shared" si="9"/>
        <v>0</v>
      </c>
      <c r="Z24" s="20">
        <f t="shared" si="10"/>
        <v>0</v>
      </c>
      <c r="AA24" s="20">
        <f t="shared" si="11"/>
        <v>0</v>
      </c>
      <c r="AB24" s="20">
        <f t="shared" si="12"/>
        <v>0</v>
      </c>
    </row>
    <row r="25" spans="1:28" ht="24">
      <c r="A25" s="15" t="s">
        <v>24</v>
      </c>
      <c r="B25" s="8">
        <v>0.59</v>
      </c>
      <c r="C25" s="8">
        <v>0.83</v>
      </c>
      <c r="D25" s="8">
        <v>60.3</v>
      </c>
      <c r="E25" s="8">
        <v>0.4</v>
      </c>
      <c r="F25" s="17">
        <f t="shared" si="0"/>
        <v>4.13</v>
      </c>
      <c r="G25" s="10">
        <v>10</v>
      </c>
      <c r="H25" s="10">
        <v>3</v>
      </c>
      <c r="I25" s="9">
        <f t="shared" si="3"/>
        <v>3.3333333333333335</v>
      </c>
      <c r="J25" s="11">
        <v>3</v>
      </c>
      <c r="K25" s="12"/>
      <c r="L25" s="12"/>
      <c r="M25" s="12"/>
      <c r="N25" s="13">
        <f t="shared" si="4"/>
        <v>1</v>
      </c>
      <c r="O25" s="9">
        <f t="shared" si="5"/>
        <v>4.13</v>
      </c>
      <c r="P25" s="9">
        <f t="shared" si="1"/>
        <v>1.6520000000000001</v>
      </c>
      <c r="Q25" s="16">
        <f t="shared" si="6"/>
        <v>2.4779999999999998</v>
      </c>
      <c r="R25" s="19">
        <f>VLOOKUP(J25,'Тек сделки'!$A$3:$W$10,8)</f>
        <v>1.42</v>
      </c>
      <c r="S25" s="19">
        <f>VLOOKUP(J25,'Тек сделки'!$A$3:$W$10,7)</f>
        <v>0.21</v>
      </c>
      <c r="T25" s="74">
        <f>VLOOKUP(J25,'Тек сделки'!$A$3:$W$10,23)</f>
        <v>0.13096610169491527</v>
      </c>
      <c r="U25" s="74">
        <f>VLOOKUP(J25,'Тек сделки'!$A$3:$W$10,21)</f>
        <v>0.025</v>
      </c>
      <c r="V25" s="20">
        <f t="shared" si="7"/>
        <v>1.163380281690141</v>
      </c>
      <c r="W25" s="20">
        <f t="shared" si="8"/>
        <v>0.1774647887323944</v>
      </c>
      <c r="X25" s="20">
        <f t="shared" si="2"/>
        <v>0.04397577464788733</v>
      </c>
      <c r="Y25" s="20">
        <f t="shared" si="9"/>
        <v>0.021690140845070427</v>
      </c>
      <c r="Z25" s="20">
        <f t="shared" si="10"/>
        <v>0.1523633802816902</v>
      </c>
      <c r="AA25" s="20">
        <f t="shared" si="11"/>
        <v>0.02908450704225353</v>
      </c>
      <c r="AB25" s="20">
        <f t="shared" si="12"/>
        <v>0.022160422535211274</v>
      </c>
    </row>
    <row r="26" spans="1:28" ht="24">
      <c r="A26" s="15" t="s">
        <v>25</v>
      </c>
      <c r="B26" s="8">
        <v>0.54</v>
      </c>
      <c r="C26" s="8">
        <v>0.71</v>
      </c>
      <c r="D26" s="8">
        <v>73.2</v>
      </c>
      <c r="E26" s="8">
        <v>0.5</v>
      </c>
      <c r="F26" s="17">
        <f t="shared" si="0"/>
        <v>3.7800000000000002</v>
      </c>
      <c r="G26" s="10">
        <v>10</v>
      </c>
      <c r="H26" s="10">
        <v>3</v>
      </c>
      <c r="I26" s="9">
        <f t="shared" si="3"/>
        <v>3.3333333333333335</v>
      </c>
      <c r="J26" s="11">
        <v>3</v>
      </c>
      <c r="K26" s="12"/>
      <c r="L26" s="12"/>
      <c r="M26" s="12"/>
      <c r="N26" s="13">
        <f t="shared" si="4"/>
        <v>1</v>
      </c>
      <c r="O26" s="9">
        <f t="shared" si="5"/>
        <v>3.7800000000000002</v>
      </c>
      <c r="P26" s="9">
        <f t="shared" si="1"/>
        <v>1.5120000000000002</v>
      </c>
      <c r="Q26" s="16">
        <f t="shared" si="6"/>
        <v>2.268</v>
      </c>
      <c r="R26" s="19">
        <f>VLOOKUP(J26,'Тек сделки'!$A$3:$W$10,8)</f>
        <v>1.42</v>
      </c>
      <c r="S26" s="19">
        <f>VLOOKUP(J26,'Тек сделки'!$A$3:$W$10,7)</f>
        <v>0.21</v>
      </c>
      <c r="T26" s="74">
        <f>VLOOKUP(J26,'Тек сделки'!$A$3:$W$10,23)</f>
        <v>0.13096610169491527</v>
      </c>
      <c r="U26" s="74">
        <f>VLOOKUP(J26,'Тек сделки'!$A$3:$W$10,21)</f>
        <v>0.025</v>
      </c>
      <c r="V26" s="20">
        <f t="shared" si="7"/>
        <v>1.0647887323943663</v>
      </c>
      <c r="W26" s="20">
        <f t="shared" si="8"/>
        <v>0.16242539985676774</v>
      </c>
      <c r="X26" s="20">
        <f t="shared" si="2"/>
        <v>0.04024901408450705</v>
      </c>
      <c r="Y26" s="20">
        <f t="shared" si="9"/>
        <v>0.01985199331582717</v>
      </c>
      <c r="Z26" s="20">
        <f t="shared" si="10"/>
        <v>0.1394512294103605</v>
      </c>
      <c r="AA26" s="20">
        <f t="shared" si="11"/>
        <v>0.02661971830985916</v>
      </c>
      <c r="AB26" s="20">
        <f t="shared" si="12"/>
        <v>0.020282420625447606</v>
      </c>
    </row>
    <row r="27" spans="1:28" ht="24">
      <c r="A27" s="15" t="s">
        <v>26</v>
      </c>
      <c r="B27" s="8">
        <v>0.4</v>
      </c>
      <c r="C27" s="8">
        <v>1.9</v>
      </c>
      <c r="D27" s="8">
        <v>-51.6</v>
      </c>
      <c r="E27" s="8">
        <v>0.5</v>
      </c>
      <c r="F27" s="17">
        <f t="shared" si="0"/>
        <v>2.8000000000000003</v>
      </c>
      <c r="G27" s="10">
        <v>10</v>
      </c>
      <c r="H27" s="10">
        <v>3</v>
      </c>
      <c r="I27" s="9">
        <f t="shared" si="3"/>
        <v>3.3333333333333335</v>
      </c>
      <c r="J27" s="11">
        <v>3</v>
      </c>
      <c r="K27" s="12"/>
      <c r="L27" s="12"/>
      <c r="M27" s="12"/>
      <c r="N27" s="13">
        <f t="shared" si="4"/>
        <v>1</v>
      </c>
      <c r="O27" s="9">
        <f t="shared" si="5"/>
        <v>2.8000000000000003</v>
      </c>
      <c r="P27" s="9">
        <f t="shared" si="1"/>
        <v>1.12</v>
      </c>
      <c r="Q27" s="16">
        <f t="shared" si="6"/>
        <v>1.6800000000000002</v>
      </c>
      <c r="R27" s="19">
        <f>VLOOKUP(J27,'Тек сделки'!$A$3:$W$10,8)</f>
        <v>1.42</v>
      </c>
      <c r="S27" s="19">
        <f>VLOOKUP(J27,'Тек сделки'!$A$3:$W$10,7)</f>
        <v>0.21</v>
      </c>
      <c r="T27" s="74">
        <f>VLOOKUP(J27,'Тек сделки'!$A$3:$W$10,23)</f>
        <v>0.13096610169491527</v>
      </c>
      <c r="U27" s="74">
        <f>VLOOKUP(J27,'Тек сделки'!$A$3:$W$10,21)</f>
        <v>0.025</v>
      </c>
      <c r="V27" s="20">
        <f t="shared" si="7"/>
        <v>0.7887323943661972</v>
      </c>
      <c r="W27" s="20">
        <f t="shared" si="8"/>
        <v>0.12031511100501315</v>
      </c>
      <c r="X27" s="20">
        <f t="shared" si="2"/>
        <v>0.029814084507042253</v>
      </c>
      <c r="Y27" s="20">
        <f t="shared" si="9"/>
        <v>0.01470518023394605</v>
      </c>
      <c r="Z27" s="20">
        <f t="shared" si="10"/>
        <v>0.1032972069706374</v>
      </c>
      <c r="AA27" s="20">
        <f t="shared" si="11"/>
        <v>0.01971830985915493</v>
      </c>
      <c r="AB27" s="20">
        <f t="shared" si="12"/>
        <v>0.015024015278109336</v>
      </c>
    </row>
    <row r="28" spans="1:28" ht="24">
      <c r="A28" s="15" t="s">
        <v>27</v>
      </c>
      <c r="B28" s="8">
        <v>0.4</v>
      </c>
      <c r="C28" s="8">
        <v>0.27</v>
      </c>
      <c r="D28" s="8">
        <v>239.9</v>
      </c>
      <c r="E28" s="8">
        <v>0.3</v>
      </c>
      <c r="F28" s="17">
        <f t="shared" si="0"/>
        <v>2.8000000000000003</v>
      </c>
      <c r="G28" s="10">
        <v>10</v>
      </c>
      <c r="H28" s="10">
        <v>3</v>
      </c>
      <c r="I28" s="9">
        <f t="shared" si="3"/>
        <v>3.3333333333333335</v>
      </c>
      <c r="J28" s="11">
        <v>3</v>
      </c>
      <c r="K28" s="12"/>
      <c r="L28" s="12"/>
      <c r="M28" s="12"/>
      <c r="N28" s="13">
        <f t="shared" si="4"/>
        <v>1</v>
      </c>
      <c r="O28" s="9">
        <f t="shared" si="5"/>
        <v>2.8000000000000003</v>
      </c>
      <c r="P28" s="9">
        <f t="shared" si="1"/>
        <v>1.12</v>
      </c>
      <c r="Q28" s="16">
        <f t="shared" si="6"/>
        <v>1.6800000000000002</v>
      </c>
      <c r="R28" s="19">
        <f>VLOOKUP(J28,'Тек сделки'!$A$3:$W$10,8)</f>
        <v>1.42</v>
      </c>
      <c r="S28" s="19">
        <f>VLOOKUP(J28,'Тек сделки'!$A$3:$W$10,7)</f>
        <v>0.21</v>
      </c>
      <c r="T28" s="74">
        <f>VLOOKUP(J28,'Тек сделки'!$A$3:$W$10,23)</f>
        <v>0.13096610169491527</v>
      </c>
      <c r="U28" s="74">
        <f>VLOOKUP(J28,'Тек сделки'!$A$3:$W$10,21)</f>
        <v>0.025</v>
      </c>
      <c r="V28" s="20">
        <f t="shared" si="7"/>
        <v>0.7887323943661972</v>
      </c>
      <c r="W28" s="20">
        <f t="shared" si="8"/>
        <v>0.12031511100501315</v>
      </c>
      <c r="X28" s="20">
        <f t="shared" si="2"/>
        <v>0.029814084507042253</v>
      </c>
      <c r="Y28" s="20">
        <f t="shared" si="9"/>
        <v>0.01470518023394605</v>
      </c>
      <c r="Z28" s="20">
        <f t="shared" si="10"/>
        <v>0.1032972069706374</v>
      </c>
      <c r="AA28" s="20">
        <f t="shared" si="11"/>
        <v>0.01971830985915493</v>
      </c>
      <c r="AB28" s="20">
        <f t="shared" si="12"/>
        <v>0.015024015278109336</v>
      </c>
    </row>
    <row r="29" spans="1:28" ht="15">
      <c r="A29" s="15" t="s">
        <v>28</v>
      </c>
      <c r="B29" s="8">
        <v>0.29</v>
      </c>
      <c r="C29" s="8">
        <v>0.04</v>
      </c>
      <c r="D29" s="14">
        <v>1525.8</v>
      </c>
      <c r="E29" s="8">
        <v>0.4</v>
      </c>
      <c r="F29" s="17">
        <f t="shared" si="0"/>
        <v>2.03</v>
      </c>
      <c r="G29" s="10">
        <v>10</v>
      </c>
      <c r="H29" s="10">
        <v>3</v>
      </c>
      <c r="I29" s="9">
        <f t="shared" si="3"/>
        <v>3.3333333333333335</v>
      </c>
      <c r="J29" s="11">
        <v>3</v>
      </c>
      <c r="K29" s="12"/>
      <c r="L29" s="12"/>
      <c r="M29" s="12"/>
      <c r="N29" s="13">
        <f t="shared" si="4"/>
        <v>1</v>
      </c>
      <c r="O29" s="9">
        <f t="shared" si="5"/>
        <v>2.03</v>
      </c>
      <c r="P29" s="9">
        <f t="shared" si="1"/>
        <v>0.8119999999999999</v>
      </c>
      <c r="Q29" s="16">
        <f t="shared" si="6"/>
        <v>1.218</v>
      </c>
      <c r="R29" s="19">
        <f>VLOOKUP(J29,'Тек сделки'!$A$3:$W$10,8)</f>
        <v>1.42</v>
      </c>
      <c r="S29" s="19">
        <f>VLOOKUP(J29,'Тек сделки'!$A$3:$W$10,7)</f>
        <v>0.21</v>
      </c>
      <c r="T29" s="74">
        <f>VLOOKUP(J29,'Тек сделки'!$A$3:$W$10,23)</f>
        <v>0.13096610169491527</v>
      </c>
      <c r="U29" s="74">
        <f>VLOOKUP(J29,'Тек сделки'!$A$3:$W$10,21)</f>
        <v>0.025</v>
      </c>
      <c r="V29" s="20">
        <f t="shared" si="7"/>
        <v>0.571830985915493</v>
      </c>
      <c r="W29" s="20">
        <f t="shared" si="8"/>
        <v>0.08722845547863452</v>
      </c>
      <c r="X29" s="20">
        <f t="shared" si="2"/>
        <v>0.02161521126760563</v>
      </c>
      <c r="Y29" s="20">
        <f t="shared" si="9"/>
        <v>0.010661255669610886</v>
      </c>
      <c r="Z29" s="20">
        <f t="shared" si="10"/>
        <v>0.07489047505371212</v>
      </c>
      <c r="AA29" s="20">
        <f t="shared" si="11"/>
        <v>0.014295774647887324</v>
      </c>
      <c r="AB29" s="20">
        <f t="shared" si="12"/>
        <v>0.010892411076629268</v>
      </c>
    </row>
    <row r="30" spans="1:28" ht="15">
      <c r="A30" s="15" t="s">
        <v>29</v>
      </c>
      <c r="B30" s="8">
        <v>0.2</v>
      </c>
      <c r="C30" s="8">
        <v>7.44</v>
      </c>
      <c r="D30" s="8">
        <v>-94</v>
      </c>
      <c r="E30" s="8">
        <v>0.7</v>
      </c>
      <c r="F30" s="17">
        <f t="shared" si="0"/>
        <v>1.4000000000000001</v>
      </c>
      <c r="G30" s="10">
        <v>10</v>
      </c>
      <c r="H30" s="10">
        <v>3</v>
      </c>
      <c r="I30" s="9">
        <f t="shared" si="3"/>
        <v>3.3333333333333335</v>
      </c>
      <c r="J30" s="11">
        <v>3</v>
      </c>
      <c r="K30" s="12"/>
      <c r="L30" s="12"/>
      <c r="M30" s="12">
        <v>0.2</v>
      </c>
      <c r="N30" s="13">
        <f t="shared" si="4"/>
        <v>0.8</v>
      </c>
      <c r="O30" s="9">
        <f t="shared" si="5"/>
        <v>1.12</v>
      </c>
      <c r="P30" s="9">
        <f t="shared" si="1"/>
        <v>0.44800000000000006</v>
      </c>
      <c r="Q30" s="16">
        <f t="shared" si="6"/>
        <v>0.9520000000000001</v>
      </c>
      <c r="R30" s="19">
        <f>VLOOKUP(J30,'Тек сделки'!$A$3:$W$10,8)</f>
        <v>1.42</v>
      </c>
      <c r="S30" s="19">
        <f>VLOOKUP(J30,'Тек сделки'!$A$3:$W$10,7)</f>
        <v>0.21</v>
      </c>
      <c r="T30" s="74">
        <f>VLOOKUP(J30,'Тек сделки'!$A$3:$W$10,23)</f>
        <v>0.13096610169491527</v>
      </c>
      <c r="U30" s="74">
        <f>VLOOKUP(J30,'Тек сделки'!$A$3:$W$10,21)</f>
        <v>0.025</v>
      </c>
      <c r="V30" s="20">
        <f t="shared" si="7"/>
        <v>0.31549295774647895</v>
      </c>
      <c r="W30" s="20">
        <f t="shared" si="8"/>
        <v>0.04812604440200527</v>
      </c>
      <c r="X30" s="20">
        <f t="shared" si="2"/>
        <v>0.011925633802816905</v>
      </c>
      <c r="Y30" s="20">
        <f t="shared" si="9"/>
        <v>0.005882072093578421</v>
      </c>
      <c r="Z30" s="20">
        <f t="shared" si="10"/>
        <v>0.04131888278825497</v>
      </c>
      <c r="AA30" s="20">
        <f t="shared" si="11"/>
        <v>0.007887323943661975</v>
      </c>
      <c r="AB30" s="20">
        <f t="shared" si="12"/>
        <v>0.006009606111243735</v>
      </c>
    </row>
    <row r="31" spans="1:28" ht="15">
      <c r="A31" s="15" t="s">
        <v>30</v>
      </c>
      <c r="B31" s="8">
        <v>0.18</v>
      </c>
      <c r="C31" s="8">
        <v>0.25</v>
      </c>
      <c r="D31" s="8">
        <v>67.5</v>
      </c>
      <c r="E31" s="8">
        <v>0.2</v>
      </c>
      <c r="F31" s="17">
        <f t="shared" si="0"/>
        <v>1.26</v>
      </c>
      <c r="G31" s="10">
        <v>10</v>
      </c>
      <c r="H31" s="10">
        <v>3</v>
      </c>
      <c r="I31" s="9">
        <f t="shared" si="3"/>
        <v>3.3333333333333335</v>
      </c>
      <c r="J31" s="11">
        <v>3</v>
      </c>
      <c r="K31" s="12"/>
      <c r="L31" s="12"/>
      <c r="M31" s="12"/>
      <c r="N31" s="13">
        <f t="shared" si="4"/>
        <v>1</v>
      </c>
      <c r="O31" s="9">
        <f t="shared" si="5"/>
        <v>1.26</v>
      </c>
      <c r="P31" s="9">
        <f t="shared" si="1"/>
        <v>0.504</v>
      </c>
      <c r="Q31" s="16">
        <f t="shared" si="6"/>
        <v>0.756</v>
      </c>
      <c r="R31" s="19">
        <f>VLOOKUP(J31,'Тек сделки'!$A$3:$W$10,8)</f>
        <v>1.42</v>
      </c>
      <c r="S31" s="19">
        <f>VLOOKUP(J31,'Тек сделки'!$A$3:$W$10,7)</f>
        <v>0.21</v>
      </c>
      <c r="T31" s="74">
        <f>VLOOKUP(J31,'Тек сделки'!$A$3:$W$10,23)</f>
        <v>0.13096610169491527</v>
      </c>
      <c r="U31" s="74">
        <f>VLOOKUP(J31,'Тек сделки'!$A$3:$W$10,21)</f>
        <v>0.025</v>
      </c>
      <c r="V31" s="20">
        <f t="shared" si="7"/>
        <v>0.35492957746478876</v>
      </c>
      <c r="W31" s="20">
        <f t="shared" si="8"/>
        <v>0.05414179995225591</v>
      </c>
      <c r="X31" s="20">
        <f t="shared" si="2"/>
        <v>0.013416338028169014</v>
      </c>
      <c r="Y31" s="20">
        <f t="shared" si="9"/>
        <v>0.006617331105275723</v>
      </c>
      <c r="Z31" s="20">
        <f t="shared" si="10"/>
        <v>0.04648374313678683</v>
      </c>
      <c r="AA31" s="20">
        <f t="shared" si="11"/>
        <v>0.00887323943661972</v>
      </c>
      <c r="AB31" s="20">
        <f t="shared" si="12"/>
        <v>0.006760806875149201</v>
      </c>
    </row>
    <row r="32" spans="1:28" ht="15">
      <c r="A32" s="15" t="s">
        <v>31</v>
      </c>
      <c r="B32" s="8">
        <v>0.18</v>
      </c>
      <c r="C32" s="8">
        <v>0.25</v>
      </c>
      <c r="D32" s="8">
        <v>67.4</v>
      </c>
      <c r="E32" s="8">
        <v>0.3</v>
      </c>
      <c r="F32" s="17">
        <f t="shared" si="0"/>
        <v>1.26</v>
      </c>
      <c r="G32" s="10">
        <v>10</v>
      </c>
      <c r="H32" s="10">
        <v>3</v>
      </c>
      <c r="I32" s="9">
        <f t="shared" si="3"/>
        <v>3.3333333333333335</v>
      </c>
      <c r="J32" s="11">
        <v>3</v>
      </c>
      <c r="K32" s="12"/>
      <c r="L32" s="12"/>
      <c r="M32" s="12"/>
      <c r="N32" s="13">
        <f t="shared" si="4"/>
        <v>1</v>
      </c>
      <c r="O32" s="9">
        <f t="shared" si="5"/>
        <v>1.26</v>
      </c>
      <c r="P32" s="9">
        <f t="shared" si="1"/>
        <v>0.504</v>
      </c>
      <c r="Q32" s="16">
        <f t="shared" si="6"/>
        <v>0.756</v>
      </c>
      <c r="R32" s="19">
        <f>VLOOKUP(J32,'Тек сделки'!$A$3:$W$10,8)</f>
        <v>1.42</v>
      </c>
      <c r="S32" s="19">
        <f>VLOOKUP(J32,'Тек сделки'!$A$3:$W$10,7)</f>
        <v>0.21</v>
      </c>
      <c r="T32" s="74">
        <f>VLOOKUP(J32,'Тек сделки'!$A$3:$W$10,23)</f>
        <v>0.13096610169491527</v>
      </c>
      <c r="U32" s="74">
        <f>VLOOKUP(J32,'Тек сделки'!$A$3:$W$10,21)</f>
        <v>0.025</v>
      </c>
      <c r="V32" s="20">
        <f t="shared" si="7"/>
        <v>0.35492957746478876</v>
      </c>
      <c r="W32" s="20">
        <f t="shared" si="8"/>
        <v>0.05414179995225591</v>
      </c>
      <c r="X32" s="20">
        <f t="shared" si="2"/>
        <v>0.013416338028169014</v>
      </c>
      <c r="Y32" s="20">
        <f t="shared" si="9"/>
        <v>0.006617331105275723</v>
      </c>
      <c r="Z32" s="20">
        <f t="shared" si="10"/>
        <v>0.04648374313678683</v>
      </c>
      <c r="AA32" s="20">
        <f t="shared" si="11"/>
        <v>0.00887323943661972</v>
      </c>
      <c r="AB32" s="20">
        <f t="shared" si="12"/>
        <v>0.006760806875149201</v>
      </c>
    </row>
    <row r="33" spans="1:28" ht="24">
      <c r="A33" s="15" t="s">
        <v>32</v>
      </c>
      <c r="B33" s="8">
        <v>0.16</v>
      </c>
      <c r="C33" s="8">
        <v>0.39</v>
      </c>
      <c r="D33" s="8">
        <v>-5.5</v>
      </c>
      <c r="E33" s="8">
        <v>0.12</v>
      </c>
      <c r="F33" s="17">
        <f t="shared" si="0"/>
        <v>1.12</v>
      </c>
      <c r="G33" s="10">
        <v>10</v>
      </c>
      <c r="H33" s="10">
        <v>3</v>
      </c>
      <c r="I33" s="9">
        <f t="shared" si="3"/>
        <v>3.3333333333333335</v>
      </c>
      <c r="J33" s="11">
        <v>3</v>
      </c>
      <c r="K33" s="12"/>
      <c r="L33" s="12"/>
      <c r="M33" s="12"/>
      <c r="N33" s="13">
        <f t="shared" si="4"/>
        <v>1</v>
      </c>
      <c r="O33" s="9">
        <f t="shared" si="5"/>
        <v>1.12</v>
      </c>
      <c r="P33" s="9">
        <f t="shared" si="1"/>
        <v>0.44800000000000006</v>
      </c>
      <c r="Q33" s="16">
        <f t="shared" si="6"/>
        <v>0.672</v>
      </c>
      <c r="R33" s="19">
        <f>VLOOKUP(J33,'Тек сделки'!$A$3:$W$10,8)</f>
        <v>1.42</v>
      </c>
      <c r="S33" s="19">
        <f>VLOOKUP(J33,'Тек сделки'!$A$3:$W$10,7)</f>
        <v>0.21</v>
      </c>
      <c r="T33" s="74">
        <f>VLOOKUP(J33,'Тек сделки'!$A$3:$W$10,23)</f>
        <v>0.13096610169491527</v>
      </c>
      <c r="U33" s="74">
        <f>VLOOKUP(J33,'Тек сделки'!$A$3:$W$10,21)</f>
        <v>0.025</v>
      </c>
      <c r="V33" s="20">
        <f t="shared" si="7"/>
        <v>0.31549295774647895</v>
      </c>
      <c r="W33" s="20">
        <f t="shared" si="8"/>
        <v>0.04812604440200527</v>
      </c>
      <c r="X33" s="20">
        <f t="shared" si="2"/>
        <v>0.011925633802816905</v>
      </c>
      <c r="Y33" s="20">
        <f t="shared" si="9"/>
        <v>0.005882072093578421</v>
      </c>
      <c r="Z33" s="20">
        <f t="shared" si="10"/>
        <v>0.04131888278825497</v>
      </c>
      <c r="AA33" s="20">
        <f t="shared" si="11"/>
        <v>0.007887323943661975</v>
      </c>
      <c r="AB33" s="20">
        <f t="shared" si="12"/>
        <v>0.006009606111243735</v>
      </c>
    </row>
    <row r="34" spans="1:28" ht="15">
      <c r="A34" s="15" t="s">
        <v>33</v>
      </c>
      <c r="B34" s="8">
        <v>0.16</v>
      </c>
      <c r="C34" s="8">
        <v>0</v>
      </c>
      <c r="D34" s="14">
        <v>17579.1</v>
      </c>
      <c r="E34" s="8">
        <v>0.09</v>
      </c>
      <c r="F34" s="17">
        <f t="shared" si="0"/>
        <v>1.12</v>
      </c>
      <c r="G34" s="10">
        <v>10</v>
      </c>
      <c r="H34" s="10">
        <v>3</v>
      </c>
      <c r="I34" s="9">
        <f t="shared" si="3"/>
        <v>3.3333333333333335</v>
      </c>
      <c r="J34" s="11">
        <v>3</v>
      </c>
      <c r="K34" s="12"/>
      <c r="L34" s="12"/>
      <c r="M34" s="12"/>
      <c r="N34" s="13">
        <f t="shared" si="4"/>
        <v>1</v>
      </c>
      <c r="O34" s="9">
        <f t="shared" si="5"/>
        <v>1.12</v>
      </c>
      <c r="P34" s="9">
        <f t="shared" si="1"/>
        <v>0.44800000000000006</v>
      </c>
      <c r="Q34" s="16">
        <f t="shared" si="6"/>
        <v>0.672</v>
      </c>
      <c r="R34" s="19">
        <f>VLOOKUP(J34,'Тек сделки'!$A$3:$W$10,8)</f>
        <v>1.42</v>
      </c>
      <c r="S34" s="19">
        <f>VLOOKUP(J34,'Тек сделки'!$A$3:$W$10,7)</f>
        <v>0.21</v>
      </c>
      <c r="T34" s="74">
        <f>VLOOKUP(J34,'Тек сделки'!$A$3:$W$10,23)</f>
        <v>0.13096610169491527</v>
      </c>
      <c r="U34" s="74">
        <f>VLOOKUP(J34,'Тек сделки'!$A$3:$W$10,21)</f>
        <v>0.025</v>
      </c>
      <c r="V34" s="20">
        <f t="shared" si="7"/>
        <v>0.31549295774647895</v>
      </c>
      <c r="W34" s="20">
        <f t="shared" si="8"/>
        <v>0.04812604440200527</v>
      </c>
      <c r="X34" s="20">
        <f t="shared" si="2"/>
        <v>0.011925633802816905</v>
      </c>
      <c r="Y34" s="20">
        <f t="shared" si="9"/>
        <v>0.005882072093578421</v>
      </c>
      <c r="Z34" s="20">
        <f t="shared" si="10"/>
        <v>0.04131888278825497</v>
      </c>
      <c r="AA34" s="20">
        <f t="shared" si="11"/>
        <v>0.007887323943661975</v>
      </c>
      <c r="AB34" s="20">
        <f t="shared" si="12"/>
        <v>0.006009606111243735</v>
      </c>
    </row>
    <row r="35" spans="1:28" ht="15">
      <c r="A35" s="15" t="s">
        <v>34</v>
      </c>
      <c r="B35" s="8">
        <v>0.09</v>
      </c>
      <c r="C35" s="8">
        <v>0.05</v>
      </c>
      <c r="D35" s="8">
        <v>313.4</v>
      </c>
      <c r="E35" s="8">
        <v>0.12</v>
      </c>
      <c r="F35" s="17">
        <f t="shared" si="0"/>
        <v>0.63</v>
      </c>
      <c r="G35" s="10">
        <v>10</v>
      </c>
      <c r="H35" s="10">
        <v>3</v>
      </c>
      <c r="I35" s="9">
        <f t="shared" si="3"/>
        <v>3.3333333333333335</v>
      </c>
      <c r="J35" s="11">
        <v>3</v>
      </c>
      <c r="K35" s="12"/>
      <c r="L35" s="12"/>
      <c r="M35" s="12"/>
      <c r="N35" s="13">
        <f t="shared" si="4"/>
        <v>1</v>
      </c>
      <c r="O35" s="9">
        <f t="shared" si="5"/>
        <v>0.63</v>
      </c>
      <c r="P35" s="9">
        <f t="shared" si="1"/>
        <v>0.252</v>
      </c>
      <c r="Q35" s="16">
        <f t="shared" si="6"/>
        <v>0.378</v>
      </c>
      <c r="R35" s="19">
        <f>VLOOKUP(J35,'Тек сделки'!$A$3:$W$10,8)</f>
        <v>1.42</v>
      </c>
      <c r="S35" s="19">
        <f>VLOOKUP(J35,'Тек сделки'!$A$3:$W$10,7)</f>
        <v>0.21</v>
      </c>
      <c r="T35" s="74">
        <f>VLOOKUP(J35,'Тек сделки'!$A$3:$W$10,23)</f>
        <v>0.13096610169491527</v>
      </c>
      <c r="U35" s="74">
        <f>VLOOKUP(J35,'Тек сделки'!$A$3:$W$10,21)</f>
        <v>0.025</v>
      </c>
      <c r="V35" s="20">
        <f t="shared" si="7"/>
        <v>0.17746478873239438</v>
      </c>
      <c r="W35" s="20">
        <f t="shared" si="8"/>
        <v>0.027070899976127955</v>
      </c>
      <c r="X35" s="20">
        <f t="shared" si="2"/>
        <v>0.006708169014084507</v>
      </c>
      <c r="Y35" s="20">
        <f t="shared" si="9"/>
        <v>0.0033086655526378614</v>
      </c>
      <c r="Z35" s="20">
        <f t="shared" si="10"/>
        <v>0.023241871568393416</v>
      </c>
      <c r="AA35" s="20">
        <f t="shared" si="11"/>
        <v>0.00443661971830986</v>
      </c>
      <c r="AB35" s="20">
        <f t="shared" si="12"/>
        <v>0.0033804034375746004</v>
      </c>
    </row>
    <row r="36" spans="1:28" ht="24">
      <c r="A36" s="15" t="s">
        <v>35</v>
      </c>
      <c r="B36" s="8">
        <v>0.09</v>
      </c>
      <c r="C36" s="8">
        <v>0.15</v>
      </c>
      <c r="D36" s="8">
        <v>35</v>
      </c>
      <c r="E36" s="8">
        <v>0.13</v>
      </c>
      <c r="F36" s="17">
        <f t="shared" si="0"/>
        <v>0.63</v>
      </c>
      <c r="G36" s="10">
        <v>10</v>
      </c>
      <c r="H36" s="10">
        <v>3</v>
      </c>
      <c r="I36" s="9">
        <f t="shared" si="3"/>
        <v>3.3333333333333335</v>
      </c>
      <c r="J36" s="11">
        <v>3</v>
      </c>
      <c r="K36" s="12"/>
      <c r="L36" s="12"/>
      <c r="M36" s="12"/>
      <c r="N36" s="13">
        <f t="shared" si="4"/>
        <v>1</v>
      </c>
      <c r="O36" s="9">
        <f t="shared" si="5"/>
        <v>0.63</v>
      </c>
      <c r="P36" s="9">
        <f t="shared" si="1"/>
        <v>0.252</v>
      </c>
      <c r="Q36" s="16">
        <f t="shared" si="6"/>
        <v>0.378</v>
      </c>
      <c r="R36" s="19">
        <f>VLOOKUP(J36,'Тек сделки'!$A$3:$W$10,8)</f>
        <v>1.42</v>
      </c>
      <c r="S36" s="19">
        <f>VLOOKUP(J36,'Тек сделки'!$A$3:$W$10,7)</f>
        <v>0.21</v>
      </c>
      <c r="T36" s="74">
        <f>VLOOKUP(J36,'Тек сделки'!$A$3:$W$10,23)</f>
        <v>0.13096610169491527</v>
      </c>
      <c r="U36" s="74">
        <f>VLOOKUP(J36,'Тек сделки'!$A$3:$W$10,21)</f>
        <v>0.025</v>
      </c>
      <c r="V36" s="20">
        <f t="shared" si="7"/>
        <v>0.17746478873239438</v>
      </c>
      <c r="W36" s="20">
        <f t="shared" si="8"/>
        <v>0.027070899976127955</v>
      </c>
      <c r="X36" s="20">
        <f t="shared" si="2"/>
        <v>0.006708169014084507</v>
      </c>
      <c r="Y36" s="20">
        <f t="shared" si="9"/>
        <v>0.0033086655526378614</v>
      </c>
      <c r="Z36" s="20">
        <f t="shared" si="10"/>
        <v>0.023241871568393416</v>
      </c>
      <c r="AA36" s="20">
        <f t="shared" si="11"/>
        <v>0.00443661971830986</v>
      </c>
      <c r="AB36" s="20">
        <f t="shared" si="12"/>
        <v>0.0033804034375746004</v>
      </c>
    </row>
    <row r="37" spans="1:28" ht="24">
      <c r="A37" s="15" t="s">
        <v>36</v>
      </c>
      <c r="B37" s="8">
        <v>0.08</v>
      </c>
      <c r="C37" s="8">
        <v>0.2</v>
      </c>
      <c r="D37" s="8">
        <v>-7.6</v>
      </c>
      <c r="E37" s="8">
        <v>0.09</v>
      </c>
      <c r="F37" s="17">
        <f t="shared" si="0"/>
        <v>0.56</v>
      </c>
      <c r="G37" s="10">
        <v>10</v>
      </c>
      <c r="H37" s="10">
        <v>3</v>
      </c>
      <c r="I37" s="9">
        <f t="shared" si="3"/>
        <v>3.3333333333333335</v>
      </c>
      <c r="J37" s="11">
        <v>3</v>
      </c>
      <c r="K37" s="12"/>
      <c r="L37" s="12"/>
      <c r="M37" s="12"/>
      <c r="N37" s="13">
        <f t="shared" si="4"/>
        <v>1</v>
      </c>
      <c r="O37" s="9">
        <f t="shared" si="5"/>
        <v>0.56</v>
      </c>
      <c r="P37" s="9">
        <f t="shared" si="1"/>
        <v>0.22400000000000003</v>
      </c>
      <c r="Q37" s="16">
        <f t="shared" si="6"/>
        <v>0.336</v>
      </c>
      <c r="R37" s="19">
        <f>VLOOKUP(J37,'Тек сделки'!$A$3:$W$10,8)</f>
        <v>1.42</v>
      </c>
      <c r="S37" s="19">
        <f>VLOOKUP(J37,'Тек сделки'!$A$3:$W$10,7)</f>
        <v>0.21</v>
      </c>
      <c r="T37" s="74">
        <f>VLOOKUP(J37,'Тек сделки'!$A$3:$W$10,23)</f>
        <v>0.13096610169491527</v>
      </c>
      <c r="U37" s="74">
        <f>VLOOKUP(J37,'Тек сделки'!$A$3:$W$10,21)</f>
        <v>0.025</v>
      </c>
      <c r="V37" s="20">
        <f t="shared" si="7"/>
        <v>0.15774647887323948</v>
      </c>
      <c r="W37" s="20">
        <f t="shared" si="8"/>
        <v>0.024063022201002635</v>
      </c>
      <c r="X37" s="20">
        <f t="shared" si="2"/>
        <v>0.005962816901408452</v>
      </c>
      <c r="Y37" s="20">
        <f t="shared" si="9"/>
        <v>0.0029410360467892107</v>
      </c>
      <c r="Z37" s="20">
        <f t="shared" si="10"/>
        <v>0.020659441394127485</v>
      </c>
      <c r="AA37" s="20">
        <f t="shared" si="11"/>
        <v>0.003943661971830987</v>
      </c>
      <c r="AB37" s="20">
        <f t="shared" si="12"/>
        <v>0.0030048030556218677</v>
      </c>
    </row>
    <row r="38" spans="1:28" ht="15">
      <c r="A38" s="15" t="s">
        <v>37</v>
      </c>
      <c r="B38" s="8">
        <v>0.06</v>
      </c>
      <c r="C38" s="8">
        <v>0.06</v>
      </c>
      <c r="D38" s="8">
        <v>134.5</v>
      </c>
      <c r="E38" s="8">
        <v>0.04</v>
      </c>
      <c r="F38" s="17">
        <f t="shared" si="0"/>
        <v>0.42</v>
      </c>
      <c r="G38" s="10">
        <v>5</v>
      </c>
      <c r="H38" s="10">
        <v>1</v>
      </c>
      <c r="I38" s="9">
        <f t="shared" si="3"/>
        <v>5</v>
      </c>
      <c r="J38" s="11">
        <v>3</v>
      </c>
      <c r="K38" s="12"/>
      <c r="L38" s="12"/>
      <c r="M38" s="12">
        <v>1</v>
      </c>
      <c r="N38" s="13">
        <f t="shared" si="4"/>
        <v>0</v>
      </c>
      <c r="O38" s="9">
        <f t="shared" si="5"/>
        <v>0</v>
      </c>
      <c r="P38" s="9">
        <f t="shared" si="1"/>
        <v>0</v>
      </c>
      <c r="Q38" s="16">
        <f t="shared" si="6"/>
        <v>0.42</v>
      </c>
      <c r="R38" s="19">
        <f>VLOOKUP(J38,'Тек сделки'!$A$3:$W$10,8)</f>
        <v>1.42</v>
      </c>
      <c r="S38" s="19">
        <f>VLOOKUP(J38,'Тек сделки'!$A$3:$W$10,7)</f>
        <v>0.21</v>
      </c>
      <c r="T38" s="74">
        <f>VLOOKUP(J38,'Тек сделки'!$A$3:$W$10,23)</f>
        <v>0.13096610169491527</v>
      </c>
      <c r="U38" s="74">
        <f>VLOOKUP(J38,'Тек сделки'!$A$3:$W$10,21)</f>
        <v>0.025</v>
      </c>
      <c r="V38" s="20">
        <f t="shared" si="7"/>
        <v>0</v>
      </c>
      <c r="W38" s="20">
        <f t="shared" si="8"/>
        <v>0</v>
      </c>
      <c r="X38" s="20">
        <f t="shared" si="2"/>
        <v>0</v>
      </c>
      <c r="Y38" s="20">
        <f t="shared" si="9"/>
        <v>0</v>
      </c>
      <c r="Z38" s="20">
        <f t="shared" si="10"/>
        <v>0</v>
      </c>
      <c r="AA38" s="20">
        <f t="shared" si="11"/>
        <v>0</v>
      </c>
      <c r="AB38" s="20">
        <f t="shared" si="12"/>
        <v>0</v>
      </c>
    </row>
    <row r="39" spans="1:28" ht="24">
      <c r="A39" s="15" t="s">
        <v>38</v>
      </c>
      <c r="B39" s="8">
        <v>0.05</v>
      </c>
      <c r="C39" s="8">
        <v>0.09</v>
      </c>
      <c r="D39" s="8">
        <v>27.3</v>
      </c>
      <c r="E39" s="8">
        <v>0.03</v>
      </c>
      <c r="F39" s="17">
        <f t="shared" si="0"/>
        <v>0.35000000000000003</v>
      </c>
      <c r="G39" s="10">
        <v>3</v>
      </c>
      <c r="H39" s="10">
        <v>3</v>
      </c>
      <c r="I39" s="9">
        <f t="shared" si="3"/>
        <v>1</v>
      </c>
      <c r="J39" s="11">
        <v>3</v>
      </c>
      <c r="K39" s="12"/>
      <c r="L39" s="12"/>
      <c r="M39" s="12"/>
      <c r="N39" s="13">
        <f t="shared" si="4"/>
        <v>1</v>
      </c>
      <c r="O39" s="9">
        <f t="shared" si="5"/>
        <v>0.35000000000000003</v>
      </c>
      <c r="P39" s="9">
        <f t="shared" si="1"/>
        <v>0.14</v>
      </c>
      <c r="Q39" s="16">
        <f t="shared" si="6"/>
        <v>0.21000000000000002</v>
      </c>
      <c r="R39" s="19">
        <f>VLOOKUP(J39,'Тек сделки'!$A$3:$W$10,8)</f>
        <v>1.42</v>
      </c>
      <c r="S39" s="19">
        <f>VLOOKUP(J39,'Тек сделки'!$A$3:$W$10,7)</f>
        <v>0.21</v>
      </c>
      <c r="T39" s="74">
        <f>VLOOKUP(J39,'Тек сделки'!$A$3:$W$10,23)</f>
        <v>0.13096610169491527</v>
      </c>
      <c r="U39" s="74">
        <f>VLOOKUP(J39,'Тек сделки'!$A$3:$W$10,21)</f>
        <v>0.025</v>
      </c>
      <c r="V39" s="20">
        <f t="shared" si="7"/>
        <v>0.09859154929577466</v>
      </c>
      <c r="W39" s="20">
        <f t="shared" si="8"/>
        <v>0.015039388875626643</v>
      </c>
      <c r="X39" s="20">
        <f t="shared" si="2"/>
        <v>0.0037267605633802816</v>
      </c>
      <c r="Y39" s="20">
        <f t="shared" si="9"/>
        <v>0.0018381475292432563</v>
      </c>
      <c r="Z39" s="20">
        <f t="shared" si="10"/>
        <v>0.012912150871329676</v>
      </c>
      <c r="AA39" s="20">
        <f t="shared" si="11"/>
        <v>0.0024647887323943664</v>
      </c>
      <c r="AB39" s="20">
        <f t="shared" si="12"/>
        <v>0.001878001909763667</v>
      </c>
    </row>
    <row r="40" spans="1:28" ht="15">
      <c r="A40" s="15" t="s">
        <v>39</v>
      </c>
      <c r="B40" s="8">
        <v>0.03</v>
      </c>
      <c r="C40" s="8">
        <v>0.04</v>
      </c>
      <c r="D40" s="8">
        <v>87.1</v>
      </c>
      <c r="E40" s="8">
        <v>0.02</v>
      </c>
      <c r="F40" s="17">
        <f t="shared" si="0"/>
        <v>0.21</v>
      </c>
      <c r="G40" s="10">
        <v>7</v>
      </c>
      <c r="H40" s="10">
        <v>3</v>
      </c>
      <c r="I40" s="9">
        <f t="shared" si="3"/>
        <v>2.3333333333333335</v>
      </c>
      <c r="J40" s="11">
        <v>3</v>
      </c>
      <c r="K40" s="12"/>
      <c r="L40" s="12"/>
      <c r="M40" s="12"/>
      <c r="N40" s="13">
        <f t="shared" si="4"/>
        <v>1</v>
      </c>
      <c r="O40" s="9">
        <f t="shared" si="5"/>
        <v>0.21</v>
      </c>
      <c r="P40" s="9">
        <f t="shared" si="1"/>
        <v>0.084</v>
      </c>
      <c r="Q40" s="16">
        <f t="shared" si="6"/>
        <v>0.126</v>
      </c>
      <c r="R40" s="19">
        <f>VLOOKUP(J40,'Тек сделки'!$A$3:$W$10,8)</f>
        <v>1.42</v>
      </c>
      <c r="S40" s="19">
        <f>VLOOKUP(J40,'Тек сделки'!$A$3:$W$10,7)</f>
        <v>0.21</v>
      </c>
      <c r="T40" s="74">
        <f>VLOOKUP(J40,'Тек сделки'!$A$3:$W$10,23)</f>
        <v>0.13096610169491527</v>
      </c>
      <c r="U40" s="74">
        <f>VLOOKUP(J40,'Тек сделки'!$A$3:$W$10,21)</f>
        <v>0.025</v>
      </c>
      <c r="V40" s="20">
        <f t="shared" si="7"/>
        <v>0.05915492957746479</v>
      </c>
      <c r="W40" s="20">
        <f t="shared" si="8"/>
        <v>0.009023633325375984</v>
      </c>
      <c r="X40" s="20">
        <f t="shared" si="2"/>
        <v>0.002236056338028169</v>
      </c>
      <c r="Y40" s="20">
        <f t="shared" si="9"/>
        <v>0.0011028885175459538</v>
      </c>
      <c r="Z40" s="20">
        <f t="shared" si="10"/>
        <v>0.007747290522797805</v>
      </c>
      <c r="AA40" s="20">
        <f t="shared" si="11"/>
        <v>0.00147887323943662</v>
      </c>
      <c r="AB40" s="20">
        <f t="shared" si="12"/>
        <v>0.0011268011458582003</v>
      </c>
    </row>
    <row r="41" spans="1:28" ht="15">
      <c r="A41" s="15" t="s">
        <v>40</v>
      </c>
      <c r="B41" s="8">
        <v>0.02</v>
      </c>
      <c r="C41" s="8">
        <v>0.15</v>
      </c>
      <c r="D41" s="8">
        <v>-67</v>
      </c>
      <c r="E41" s="8">
        <v>0.02</v>
      </c>
      <c r="F41" s="17">
        <f t="shared" si="0"/>
        <v>0.14</v>
      </c>
      <c r="G41" s="10">
        <v>7</v>
      </c>
      <c r="H41" s="10">
        <v>3</v>
      </c>
      <c r="I41" s="9">
        <f t="shared" si="3"/>
        <v>2.3333333333333335</v>
      </c>
      <c r="J41" s="11">
        <v>3</v>
      </c>
      <c r="K41" s="12"/>
      <c r="L41" s="12"/>
      <c r="M41" s="12"/>
      <c r="N41" s="13">
        <f t="shared" si="4"/>
        <v>1</v>
      </c>
      <c r="O41" s="9">
        <f t="shared" si="5"/>
        <v>0.14</v>
      </c>
      <c r="P41" s="9">
        <f t="shared" si="1"/>
        <v>0.05600000000000001</v>
      </c>
      <c r="Q41" s="16">
        <f t="shared" si="6"/>
        <v>0.084</v>
      </c>
      <c r="R41" s="19">
        <f>VLOOKUP(J41,'Тек сделки'!$A$3:$W$10,8)</f>
        <v>1.42</v>
      </c>
      <c r="S41" s="19">
        <f>VLOOKUP(J41,'Тек сделки'!$A$3:$W$10,7)</f>
        <v>0.21</v>
      </c>
      <c r="T41" s="74">
        <f>VLOOKUP(J41,'Тек сделки'!$A$3:$W$10,23)</f>
        <v>0.13096610169491527</v>
      </c>
      <c r="U41" s="74">
        <f>VLOOKUP(J41,'Тек сделки'!$A$3:$W$10,21)</f>
        <v>0.025</v>
      </c>
      <c r="V41" s="20">
        <f t="shared" si="7"/>
        <v>0.03943661971830987</v>
      </c>
      <c r="W41" s="20">
        <f t="shared" si="8"/>
        <v>0.006015755550250659</v>
      </c>
      <c r="X41" s="20">
        <f t="shared" si="2"/>
        <v>0.001490704225352113</v>
      </c>
      <c r="Y41" s="20">
        <f t="shared" si="9"/>
        <v>0.0007352590116973027</v>
      </c>
      <c r="Z41" s="20">
        <f t="shared" si="10"/>
        <v>0.005164860348531871</v>
      </c>
      <c r="AA41" s="20">
        <f t="shared" si="11"/>
        <v>0.0009859154929577469</v>
      </c>
      <c r="AB41" s="20">
        <f t="shared" si="12"/>
        <v>0.0007512007639054669</v>
      </c>
    </row>
    <row r="42" spans="1:28" ht="15">
      <c r="A42" s="15" t="s">
        <v>41</v>
      </c>
      <c r="B42" s="8">
        <v>0.01</v>
      </c>
      <c r="C42" s="8">
        <v>0.25</v>
      </c>
      <c r="D42" s="8">
        <v>-92.4</v>
      </c>
      <c r="E42" s="8">
        <v>0.03</v>
      </c>
      <c r="F42" s="17">
        <f t="shared" si="0"/>
        <v>0.07</v>
      </c>
      <c r="G42" s="10">
        <v>7</v>
      </c>
      <c r="H42" s="10">
        <v>3</v>
      </c>
      <c r="I42" s="9">
        <f t="shared" si="3"/>
        <v>2.3333333333333335</v>
      </c>
      <c r="J42" s="11">
        <v>3</v>
      </c>
      <c r="K42" s="12"/>
      <c r="L42" s="12"/>
      <c r="M42" s="12"/>
      <c r="N42" s="13">
        <f t="shared" si="4"/>
        <v>1</v>
      </c>
      <c r="O42" s="9">
        <f t="shared" si="5"/>
        <v>0.07</v>
      </c>
      <c r="P42" s="9">
        <f t="shared" si="1"/>
        <v>0.028000000000000004</v>
      </c>
      <c r="Q42" s="16">
        <f t="shared" si="6"/>
        <v>0.042</v>
      </c>
      <c r="R42" s="19">
        <f>VLOOKUP(J42,'Тек сделки'!$A$3:$W$10,8)</f>
        <v>1.42</v>
      </c>
      <c r="S42" s="19">
        <f>VLOOKUP(J42,'Тек сделки'!$A$3:$W$10,7)</f>
        <v>0.21</v>
      </c>
      <c r="T42" s="74">
        <f>VLOOKUP(J42,'Тек сделки'!$A$3:$W$10,23)</f>
        <v>0.13096610169491527</v>
      </c>
      <c r="U42" s="74">
        <f>VLOOKUP(J42,'Тек сделки'!$A$3:$W$10,21)</f>
        <v>0.025</v>
      </c>
      <c r="V42" s="20">
        <f t="shared" si="7"/>
        <v>0.019718309859154935</v>
      </c>
      <c r="W42" s="20">
        <f t="shared" si="8"/>
        <v>0.0030078777751253293</v>
      </c>
      <c r="X42" s="20">
        <f t="shared" si="2"/>
        <v>0.0007453521126760565</v>
      </c>
      <c r="Y42" s="20">
        <f t="shared" si="9"/>
        <v>0.00036762950584865134</v>
      </c>
      <c r="Z42" s="20">
        <f t="shared" si="10"/>
        <v>0.0025824301742659356</v>
      </c>
      <c r="AA42" s="20">
        <f t="shared" si="11"/>
        <v>0.0004929577464788734</v>
      </c>
      <c r="AB42" s="20">
        <f t="shared" si="12"/>
        <v>0.00037560038195273346</v>
      </c>
    </row>
    <row r="43" spans="1:28" ht="15.75" thickBot="1">
      <c r="A43" s="97" t="s">
        <v>42</v>
      </c>
      <c r="B43" s="98">
        <f>100-SUM(B6:B42)</f>
        <v>2.6699999999999733</v>
      </c>
      <c r="C43" s="98">
        <v>0.14</v>
      </c>
      <c r="D43" s="98">
        <v>-93.4</v>
      </c>
      <c r="E43" s="98">
        <v>0.01</v>
      </c>
      <c r="F43" s="99">
        <f t="shared" si="0"/>
        <v>18.689999999999813</v>
      </c>
      <c r="G43" s="100">
        <v>7</v>
      </c>
      <c r="H43" s="100">
        <v>3</v>
      </c>
      <c r="I43" s="101">
        <f t="shared" si="3"/>
        <v>2.3333333333333335</v>
      </c>
      <c r="J43" s="102">
        <v>3</v>
      </c>
      <c r="K43" s="103"/>
      <c r="L43" s="103"/>
      <c r="M43" s="103"/>
      <c r="N43" s="104">
        <f>1-SUM(K43:M43)</f>
        <v>1</v>
      </c>
      <c r="O43" s="101">
        <f t="shared" si="5"/>
        <v>18.689999999999813</v>
      </c>
      <c r="P43" s="101">
        <f t="shared" si="1"/>
        <v>7.475999999999925</v>
      </c>
      <c r="Q43" s="105">
        <f t="shared" si="6"/>
        <v>11.213999999999889</v>
      </c>
      <c r="R43" s="106">
        <f>VLOOKUP(J43,'Тек сделки'!$A$3:$W$10,8)</f>
        <v>1.42</v>
      </c>
      <c r="S43" s="106">
        <f>VLOOKUP(J43,'Тек сделки'!$A$3:$W$10,7)</f>
        <v>0.21</v>
      </c>
      <c r="T43" s="107">
        <f>VLOOKUP(J43,'Тек сделки'!$A$3:$W$10,23)</f>
        <v>0.13096610169491527</v>
      </c>
      <c r="U43" s="107">
        <f>VLOOKUP(J43,'Тек сделки'!$A$3:$W$10,21)</f>
        <v>0.025</v>
      </c>
      <c r="V43" s="108">
        <f t="shared" si="7"/>
        <v>5.264788732394314</v>
      </c>
      <c r="W43" s="108">
        <f t="shared" si="8"/>
        <v>0.8031033659584547</v>
      </c>
      <c r="X43" s="108">
        <f t="shared" si="2"/>
        <v>0.19900901408450505</v>
      </c>
      <c r="Y43" s="108">
        <f t="shared" si="9"/>
        <v>0.09815707806158891</v>
      </c>
      <c r="Z43" s="108">
        <f t="shared" si="10"/>
        <v>0.6895088565289978</v>
      </c>
      <c r="AA43" s="108">
        <f t="shared" si="11"/>
        <v>0.13161971830985786</v>
      </c>
      <c r="AB43" s="108">
        <f t="shared" si="12"/>
        <v>0.10028530198137883</v>
      </c>
    </row>
    <row r="44" spans="1:28" ht="15.75" thickBot="1">
      <c r="A44" s="28" t="s">
        <v>104</v>
      </c>
      <c r="B44" s="75">
        <f>SUM(B6:B43)</f>
        <v>100</v>
      </c>
      <c r="C44" s="75"/>
      <c r="D44" s="75"/>
      <c r="E44" s="75">
        <f>SUM(E6:E43)</f>
        <v>100.00000000000003</v>
      </c>
      <c r="F44" s="76">
        <f>SUM(F6:F43)</f>
        <v>699.9999999999997</v>
      </c>
      <c r="G44" s="31"/>
      <c r="H44" s="31"/>
      <c r="I44" s="30"/>
      <c r="J44" s="29"/>
      <c r="K44" s="52">
        <f>SUMPRODUCT(K6:K43,$F$6:$F$43)/$F$44</f>
        <v>0.09957000000000005</v>
      </c>
      <c r="L44" s="52">
        <f>SUMPRODUCT(L6:L43,$F$6:$F$43)/$F$44</f>
        <v>0.07500000000000004</v>
      </c>
      <c r="M44" s="52">
        <f>SUMPRODUCT(M6:M43,$F$6:$F$43)/$F$44</f>
        <v>0.10140000000000006</v>
      </c>
      <c r="N44" s="29"/>
      <c r="O44" s="32">
        <f>SUM(O6:O43)</f>
        <v>506.82099999999974</v>
      </c>
      <c r="P44" s="32">
        <f>SUM(P6:P43)</f>
        <v>202.72839999999994</v>
      </c>
      <c r="Q44" s="32">
        <f>SUM(Q6:Q43)</f>
        <v>497.2715999999997</v>
      </c>
      <c r="R44" s="109">
        <f>SUMPRODUCT(R6:R43,$F$6:$F$43)/$F$44</f>
        <v>1.542811000000001</v>
      </c>
      <c r="S44" s="109">
        <f>SUMPRODUCT(S6:S43,$F$6:$F$43)/$F$44</f>
        <v>0.19701749999999993</v>
      </c>
      <c r="T44" s="52">
        <f>SUMPRODUCT(T6:T43,$F$6:$F$43)/$F$44</f>
        <v>0.12517748305084747</v>
      </c>
      <c r="U44" s="52">
        <f>SUMPRODUCT(U6:U43,$F$6:$F$43)/$F$44</f>
        <v>0.019786500000000005</v>
      </c>
      <c r="V44" s="32">
        <f aca="true" t="shared" si="13" ref="V44:AB44">SUM(V6:V43)</f>
        <v>134.67964041463887</v>
      </c>
      <c r="W44" s="34">
        <f t="shared" si="13"/>
        <v>20.54435192765677</v>
      </c>
      <c r="X44" s="34">
        <f t="shared" si="13"/>
        <v>4.933555573396781</v>
      </c>
      <c r="Y44" s="34">
        <f t="shared" si="13"/>
        <v>2.5109763467136057</v>
      </c>
      <c r="Z44" s="32">
        <f t="shared" si="13"/>
        <v>17.287339251970963</v>
      </c>
      <c r="AA44" s="32">
        <f t="shared" si="13"/>
        <v>2.9773714338447363</v>
      </c>
      <c r="AB44" s="32">
        <f t="shared" si="13"/>
        <v>2.353052679520916</v>
      </c>
    </row>
    <row r="45" spans="5:28" ht="15.75" thickBot="1">
      <c r="E45" s="2"/>
      <c r="F45" s="3"/>
      <c r="I45" s="3"/>
      <c r="AA45" s="40" t="s">
        <v>97</v>
      </c>
      <c r="AB45" s="87">
        <f>AB44*0.2</f>
        <v>0.4706105359041832</v>
      </c>
    </row>
    <row r="46" ht="15.75" thickBot="1"/>
    <row r="47" spans="27:28" ht="15.75" thickBot="1">
      <c r="AA47" s="40" t="s">
        <v>98</v>
      </c>
      <c r="AB47" s="79">
        <f>W44+X44+Y44+AB45</f>
        <v>28.459494383671338</v>
      </c>
    </row>
    <row r="52" s="5" customFormat="1" ht="15"/>
  </sheetData>
  <sheetProtection/>
  <autoFilter ref="A4:Q45"/>
  <printOptions/>
  <pageMargins left="0.4" right="0.41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7">
      <selection activeCell="A1" sqref="A1"/>
    </sheetView>
  </sheetViews>
  <sheetFormatPr defaultColWidth="9.140625" defaultRowHeight="15" outlineLevelRow="1"/>
  <cols>
    <col min="1" max="1" width="18.57421875" style="0" customWidth="1"/>
    <col min="2" max="2" width="7.57421875" style="0" customWidth="1"/>
    <col min="3" max="3" width="7.140625" style="0" bestFit="1" customWidth="1"/>
    <col min="4" max="4" width="11.421875" style="0" customWidth="1"/>
    <col min="5" max="5" width="4.8515625" style="0" customWidth="1"/>
  </cols>
  <sheetData>
    <row r="1" spans="1:13" s="123" customFormat="1" ht="18.75">
      <c r="A1" s="125" t="s">
        <v>115</v>
      </c>
      <c r="M1" s="124" t="s">
        <v>118</v>
      </c>
    </row>
    <row r="2" s="123" customFormat="1" ht="15.75">
      <c r="A2" s="122"/>
    </row>
    <row r="3" spans="1:14" s="123" customFormat="1" ht="15.75">
      <c r="A3" s="127" t="s">
        <v>116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s="123" customFormat="1" ht="36" customHeight="1">
      <c r="A4" s="127" t="s">
        <v>117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7" spans="1:5" ht="15.75" thickBot="1">
      <c r="A7" s="35"/>
      <c r="B7" s="35" t="s">
        <v>81</v>
      </c>
      <c r="C7" s="35" t="s">
        <v>82</v>
      </c>
      <c r="D7" s="35" t="s">
        <v>83</v>
      </c>
      <c r="E7" s="35"/>
    </row>
    <row r="8" spans="1:5" ht="15.75" thickTop="1">
      <c r="A8" s="80" t="s">
        <v>99</v>
      </c>
      <c r="B8" s="36">
        <v>4</v>
      </c>
      <c r="C8" s="36">
        <v>1</v>
      </c>
      <c r="D8" s="36">
        <v>2</v>
      </c>
      <c r="E8" s="36">
        <v>7</v>
      </c>
    </row>
    <row r="9" spans="1:5" ht="15">
      <c r="A9" s="80" t="s">
        <v>100</v>
      </c>
      <c r="B9" s="36">
        <v>46</v>
      </c>
      <c r="C9" s="36">
        <v>5</v>
      </c>
      <c r="D9" s="36">
        <v>19</v>
      </c>
      <c r="E9" s="36">
        <v>70</v>
      </c>
    </row>
    <row r="10" spans="1:5" ht="15">
      <c r="A10" s="80" t="s">
        <v>101</v>
      </c>
      <c r="B10" s="36">
        <v>89</v>
      </c>
      <c r="C10" s="36">
        <v>19</v>
      </c>
      <c r="D10" s="36">
        <v>9</v>
      </c>
      <c r="E10" s="36">
        <v>117</v>
      </c>
    </row>
    <row r="11" spans="1:5" ht="15.75" thickBot="1">
      <c r="A11" s="37"/>
      <c r="B11" s="37">
        <v>139</v>
      </c>
      <c r="C11" s="37">
        <v>25</v>
      </c>
      <c r="D11" s="37">
        <v>30</v>
      </c>
      <c r="E11" s="37">
        <v>194</v>
      </c>
    </row>
    <row r="12" spans="1:5" ht="15.75" thickBot="1">
      <c r="A12" s="35"/>
      <c r="B12" s="35" t="s">
        <v>81</v>
      </c>
      <c r="C12" s="35" t="s">
        <v>82</v>
      </c>
      <c r="D12" s="35" t="s">
        <v>83</v>
      </c>
      <c r="E12" s="35"/>
    </row>
    <row r="13" spans="1:5" ht="15.75" thickTop="1">
      <c r="A13" s="80" t="s">
        <v>99</v>
      </c>
      <c r="B13" s="84">
        <v>0.5714</v>
      </c>
      <c r="C13" s="84">
        <v>0.1429</v>
      </c>
      <c r="D13" s="85">
        <v>0.2857</v>
      </c>
      <c r="E13" s="38"/>
    </row>
    <row r="14" spans="1:5" ht="15">
      <c r="A14" s="80" t="s">
        <v>100</v>
      </c>
      <c r="B14" s="84">
        <v>0.6571</v>
      </c>
      <c r="C14" s="84">
        <v>0.0714</v>
      </c>
      <c r="D14" s="85">
        <v>0.2714</v>
      </c>
      <c r="E14" s="38"/>
    </row>
    <row r="15" spans="1:5" ht="15">
      <c r="A15" s="80" t="s">
        <v>101</v>
      </c>
      <c r="B15" s="84">
        <v>0.7607</v>
      </c>
      <c r="C15" s="84">
        <v>0.1624</v>
      </c>
      <c r="D15" s="85">
        <v>0.0769</v>
      </c>
      <c r="E15" s="38"/>
    </row>
    <row r="17" spans="1:3" ht="15.75">
      <c r="A17" s="81" t="s">
        <v>102</v>
      </c>
      <c r="C17" s="6">
        <f>B11/E11</f>
        <v>0.7164948453608248</v>
      </c>
    </row>
    <row r="20" spans="1:4" ht="15.75" hidden="1" outlineLevel="1" thickBot="1">
      <c r="A20" s="35"/>
      <c r="B20" s="35" t="s">
        <v>81</v>
      </c>
      <c r="C20" s="35" t="s">
        <v>82</v>
      </c>
      <c r="D20" s="35" t="s">
        <v>83</v>
      </c>
    </row>
    <row r="21" spans="1:4" ht="15.75" hidden="1" outlineLevel="1" thickTop="1">
      <c r="A21" s="80" t="s">
        <v>99</v>
      </c>
      <c r="B21" s="39">
        <f>B8/$E$11</f>
        <v>0.020618556701030927</v>
      </c>
      <c r="C21" s="39">
        <f>C8/$E$11</f>
        <v>0.005154639175257732</v>
      </c>
      <c r="D21" s="39">
        <f>D8/$E$11</f>
        <v>0.010309278350515464</v>
      </c>
    </row>
    <row r="22" spans="1:4" ht="15" hidden="1" outlineLevel="1">
      <c r="A22" s="80" t="s">
        <v>100</v>
      </c>
      <c r="B22" s="39">
        <f aca="true" t="shared" si="0" ref="B22:D23">B9/$E$11</f>
        <v>0.23711340206185566</v>
      </c>
      <c r="C22" s="39">
        <f t="shared" si="0"/>
        <v>0.02577319587628866</v>
      </c>
      <c r="D22" s="39">
        <f t="shared" si="0"/>
        <v>0.0979381443298969</v>
      </c>
    </row>
    <row r="23" spans="1:4" ht="15" hidden="1" outlineLevel="1">
      <c r="A23" s="80" t="s">
        <v>101</v>
      </c>
      <c r="B23" s="39">
        <f t="shared" si="0"/>
        <v>0.4587628865979381</v>
      </c>
      <c r="C23" s="39">
        <f t="shared" si="0"/>
        <v>0.0979381443298969</v>
      </c>
      <c r="D23" s="39">
        <f t="shared" si="0"/>
        <v>0.04639175257731959</v>
      </c>
    </row>
    <row r="24" ht="15" collapsed="1"/>
  </sheetData>
  <sheetProtection/>
  <mergeCells count="2"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Kirkorov</dc:creator>
  <cp:keywords/>
  <dc:description/>
  <cp:lastModifiedBy>Наталья</cp:lastModifiedBy>
  <cp:lastPrinted>2011-02-11T13:28:14Z</cp:lastPrinted>
  <dcterms:created xsi:type="dcterms:W3CDTF">2010-11-17T05:45:18Z</dcterms:created>
  <dcterms:modified xsi:type="dcterms:W3CDTF">2011-02-14T14:12:35Z</dcterms:modified>
  <cp:category/>
  <cp:version/>
  <cp:contentType/>
  <cp:contentStatus/>
</cp:coreProperties>
</file>